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MOF 2012 2013" sheetId="1" state="visible" r:id="rId2"/>
    <sheet name="mof 2013 2014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<sst xmlns="http://schemas.openxmlformats.org/spreadsheetml/2006/main" count="113" uniqueCount="92">
  <si>
    <t>CONTRATTAZIONE 2012 2013</t>
  </si>
  <si>
    <t>in liquidazione</t>
  </si>
  <si>
    <t>da sett a dic 2012</t>
  </si>
  <si>
    <t>da genn a agosto 2013</t>
  </si>
  <si>
    <t>LORDO DIP</t>
  </si>
  <si>
    <t>L=S</t>
  </si>
  <si>
    <t>nota 2138 4/04/13</t>
  </si>
  <si>
    <t>ld</t>
  </si>
  <si>
    <t>ls</t>
  </si>
  <si>
    <t>nota 1167 del 21/2/13</t>
  </si>
  <si>
    <t>L/D</t>
  </si>
  <si>
    <t>L/S</t>
  </si>
  <si>
    <t>lordo stato</t>
  </si>
  <si>
    <t>ECONOMIE L</t>
  </si>
  <si>
    <t>TOTALE SIRGS CONTRATTATO</t>
  </si>
  <si>
    <t>nota 5342 del 31/07/13 FIS+ 5335 del 31/07/13 (sostdsga)</t>
  </si>
  <si>
    <t>TOT INTEGRAZIONI</t>
  </si>
  <si>
    <t>TOTALE SIRGS</t>
  </si>
  <si>
    <t>CAPITOLI SPESA</t>
  </si>
  <si>
    <t>LORDO STATO TOTALE CONTRATTATO</t>
  </si>
  <si>
    <t>IMPUTAZIONI DI CASSA PER VOCE SECONDO NOTE MIN</t>
  </si>
  <si>
    <t>SPESA</t>
  </si>
  <si>
    <t>SPESA L/D</t>
  </si>
  <si>
    <t>SPESA SIRGS</t>
  </si>
  <si>
    <t>DIFFERENZA</t>
  </si>
  <si>
    <t>DIFFERENZA LORDODIPENDENTE</t>
  </si>
  <si>
    <t>AVANZO CONTABILE+ INTEGRAZIONI COLONNA (O)</t>
  </si>
  <si>
    <t>PAGATO FUORI CONTRATTAZ. PER SOSTITUTO DSGA COMUNICATO</t>
  </si>
  <si>
    <t>AVANZO SIRGS</t>
  </si>
  <si>
    <t>INFANZIA</t>
  </si>
  <si>
    <t>MEDIA</t>
  </si>
  <si>
    <t>PRIMARIA</t>
  </si>
  <si>
    <t>ATA</t>
  </si>
  <si>
    <t>IA</t>
  </si>
  <si>
    <t>VICARIA</t>
  </si>
  <si>
    <t>VICE DSGA</t>
  </si>
  <si>
    <t>AVANZI</t>
  </si>
  <si>
    <t>FIS - 2154/5</t>
  </si>
  <si>
    <t>FIS +FS+IS DA SETT A DIC 012</t>
  </si>
  <si>
    <t>6709,33+893,33</t>
  </si>
  <si>
    <t>.2154/5</t>
  </si>
  <si>
    <t>FS - 2154/5</t>
  </si>
  <si>
    <t>FIS - 2156/5</t>
  </si>
  <si>
    <t>IS - 2154/5</t>
  </si>
  <si>
    <t>EC 2156/5</t>
  </si>
  <si>
    <t>EC 2155/5</t>
  </si>
  <si>
    <t>FS - 2156/5</t>
  </si>
  <si>
    <t>IS - 2156/5</t>
  </si>
  <si>
    <t>OE - 2154/6</t>
  </si>
  <si>
    <t>OE +PS</t>
  </si>
  <si>
    <r>
      <t xml:space="preserve">299,15 OE </t>
    </r>
    <r>
      <rPr>
        <b val="true"/>
        <sz val="12"/>
        <rFont val="Arial"/>
        <family val="2"/>
        <charset val="1"/>
      </rPr>
      <t xml:space="preserve">prot. 5340 del 31/07/13</t>
    </r>
  </si>
  <si>
    <t>.2154/6</t>
  </si>
  <si>
    <t>PS - 2154/6</t>
  </si>
  <si>
    <t>EC OE 2156/6</t>
  </si>
  <si>
    <t>ec  fis 2155/5</t>
  </si>
  <si>
    <t>FIS +</t>
  </si>
  <si>
    <t>.2155/5</t>
  </si>
  <si>
    <t>EC  OE 2154/6</t>
  </si>
  <si>
    <t>2156/5</t>
  </si>
  <si>
    <t>FIS +FS+IS DA GENN A GIUGNO 2013</t>
  </si>
  <si>
    <t>.2156/5</t>
  </si>
  <si>
    <t>2156/6</t>
  </si>
  <si>
    <t>2156/06</t>
  </si>
  <si>
    <t>EC FS  2156/6</t>
  </si>
  <si>
    <t>LORDO STATO</t>
  </si>
  <si>
    <t>EC PS - 2154/6</t>
  </si>
  <si>
    <t>SPESA 2012 2013</t>
  </si>
  <si>
    <t>ORE ECCEDENTI</t>
  </si>
  <si>
    <t>PS</t>
  </si>
  <si>
    <t>EC IS 2156/5</t>
  </si>
  <si>
    <t>CONTRATTAZIONE 2013 2014</t>
  </si>
  <si>
    <t>da sett a dic 2012 nota n. 8903 del 3/12/2013</t>
  </si>
  <si>
    <t>da genn a agosto 2014 Nota 2921 DEL 3/04/2014</t>
  </si>
  <si>
    <t>casse</t>
  </si>
  <si>
    <t>AVANZI L/S</t>
  </si>
  <si>
    <t>AVANZO SIRGS L/D</t>
  </si>
  <si>
    <t>REDISTRIBUZIONE SECONDO CASSA</t>
  </si>
  <si>
    <t>nota 5342 del 31/07/13 FIS+</t>
  </si>
  <si>
    <t>DISPONIBILITA LORDO DIPENDENTE</t>
  </si>
  <si>
    <t>DISPONIBILITA LORDO STATO</t>
  </si>
  <si>
    <t>L/S _ economie mof</t>
  </si>
  <si>
    <t>L/s_Mof 2013 204</t>
  </si>
  <si>
    <t>L/S_ totale contrattazione 2013 2014</t>
  </si>
  <si>
    <t>lordo dipendente contrattaione</t>
  </si>
  <si>
    <t>FIS 2155/05</t>
  </si>
  <si>
    <t>ore eccedenti</t>
  </si>
  <si>
    <t>FS 2156/05</t>
  </si>
  <si>
    <t>IIS – 2156/05</t>
  </si>
  <si>
    <t>FIS – 2156/5</t>
  </si>
  <si>
    <t>FIS2156/6</t>
  </si>
  <si>
    <t>OE – 2156/6</t>
  </si>
  <si>
    <t>l/d</t>
  </si>
</sst>
</file>

<file path=xl/styles.xml><?xml version="1.0" encoding="utf-8"?>
<styleSheet xmlns="http://schemas.openxmlformats.org/spreadsheetml/2006/main">
  <numFmts count="6">
    <numFmt formatCode="GENERAL" numFmtId="164"/>
    <numFmt formatCode="DD/MM/YYYY" numFmtId="165"/>
    <numFmt formatCode="DD\-MMM" numFmtId="166"/>
    <numFmt formatCode="_-&quot;€ &quot;* #,##0.00_-;&quot;-€ &quot;* #,##0.00_-;_-&quot;€ &quot;* \-??_-;_-@_-" numFmtId="167"/>
    <numFmt formatCode="# ?/?" numFmtId="168"/>
    <numFmt formatCode="0.00" numFmtId="169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000000"/>
      <name val="Calibri"/>
      <family val="2"/>
      <charset val="1"/>
    </font>
    <font>
      <sz val="12"/>
      <name val="Arial"/>
      <family val="2"/>
      <charset val="1"/>
    </font>
    <font>
      <sz val="12"/>
      <color rgb="FFFF0000"/>
      <name val="Arial"/>
      <family val="2"/>
      <charset val="1"/>
    </font>
    <font>
      <sz val="12"/>
      <color rgb="FF000000"/>
      <name val="Calibri"/>
      <family val="2"/>
      <charset val="1"/>
    </font>
    <font>
      <i val="true"/>
      <sz val="12"/>
      <name val="Arial"/>
      <family val="2"/>
      <charset val="1"/>
    </font>
    <font>
      <sz val="12"/>
      <color rgb="FF0070C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rgb="FF0070C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FF0000"/>
      <name val="Cambria"/>
      <family val="1"/>
      <charset val="1"/>
    </font>
    <font>
      <sz val="12"/>
      <name val="Calibri"/>
      <family val="2"/>
      <charset val="1"/>
    </font>
    <font>
      <b val="true"/>
      <sz val="12"/>
      <color rgb="FFFF3333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FF3333"/>
      <name val="Calibri"/>
      <family val="2"/>
      <charset val="1"/>
    </font>
    <font>
      <b val="true"/>
      <sz val="12"/>
      <color rgb="FF0070C0"/>
      <name val="Calibri"/>
      <family val="2"/>
      <charset val="1"/>
    </font>
    <font>
      <b val="true"/>
      <sz val="12"/>
      <color rgb="FF3399FF"/>
      <name val="Calibri"/>
      <family val="2"/>
      <charset val="1"/>
    </font>
    <font>
      <sz val="12"/>
      <color rgb="FF0070C0"/>
      <name val="Calibri"/>
      <family val="2"/>
      <charset val="1"/>
    </font>
    <font>
      <b val="true"/>
      <sz val="12"/>
      <color rgb="FF00B0F0"/>
      <name val="Calibri"/>
      <family val="2"/>
      <charset val="1"/>
    </font>
    <font>
      <b val="true"/>
      <sz val="12"/>
      <color rgb="FFFF3333"/>
      <name val="Arial"/>
      <family val="2"/>
      <charset val="1"/>
    </font>
    <font>
      <b val="true"/>
      <sz val="11"/>
      <color rgb="FFFF3333"/>
      <name val="Arial"/>
      <family val="2"/>
      <charset val="1"/>
    </font>
    <font>
      <b val="true"/>
      <i val="true"/>
      <sz val="12"/>
      <color rgb="FFFF0066"/>
      <name val="Arial"/>
      <family val="2"/>
      <charset val="1"/>
    </font>
    <font>
      <sz val="13"/>
      <name val="Arial"/>
      <family val="2"/>
      <charset val="1"/>
    </font>
    <font>
      <b val="true"/>
      <i val="true"/>
      <sz val="11"/>
      <color rgb="FFFF0066"/>
      <name val="Calibri"/>
      <family val="2"/>
      <charset val="1"/>
    </font>
    <font>
      <sz val="13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EEEEEE"/>
        <bgColor rgb="FFFFFFCC"/>
      </patternFill>
    </fill>
    <fill>
      <patternFill patternType="solid">
        <fgColor rgb="FFCCFF66"/>
        <bgColor rgb="FFFFFF99"/>
      </patternFill>
    </fill>
    <fill>
      <patternFill patternType="solid">
        <fgColor rgb="FFCCFF00"/>
        <bgColor rgb="FFFFFF00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center" wrapText="false"/>
      <protection hidden="false" locked="true"/>
    </xf>
    <xf applyAlignment="true" applyBorder="false" applyFont="false" applyProtection="false" borderId="0" fillId="0" fontId="0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6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5" numFmtId="166" xfId="0">
      <alignment horizontal="center" indent="0" shrinkToFit="false" textRotation="0" vertical="bottom" wrapText="true"/>
      <protection hidden="false" locked="true"/>
    </xf>
    <xf applyAlignment="false" applyBorder="false" applyFont="true" applyProtection="false" borderId="0" fillId="0" fontId="5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" fontId="1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10" numFmtId="167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12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0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1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14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7" xfId="0">
      <alignment horizontal="center" indent="0" shrinkToFit="true" textRotation="0" vertical="bottom" wrapText="false"/>
      <protection hidden="false" locked="true"/>
    </xf>
    <xf applyAlignment="true" applyBorder="false" applyFont="true" applyProtection="false" borderId="0" fillId="0" fontId="14" numFmtId="168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7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7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2" numFmtId="167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5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14" numFmtId="167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3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8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9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1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1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7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10" numFmtId="167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3" fontId="13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7" xfId="0">
      <alignment horizontal="general" indent="0" shrinkToFit="false" textRotation="0" vertical="center" wrapText="true"/>
      <protection hidden="false" locked="true"/>
    </xf>
    <xf applyAlignment="true" applyBorder="false" applyFont="true" applyProtection="false" borderId="0" fillId="0" fontId="7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7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0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21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22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13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3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4" numFmtId="167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25" numFmtId="164" xfId="0">
      <alignment horizontal="justify" indent="0" shrinkToFit="false" textRotation="0" vertical="center" wrapText="false"/>
      <protection hidden="false" locked="true"/>
    </xf>
    <xf applyAlignment="true" applyBorder="false" applyFont="true" applyProtection="false" borderId="0" fillId="0" fontId="26" numFmtId="164" xfId="0">
      <alignment horizontal="justify" indent="0" shrinkToFit="false" textRotation="0" vertical="center" wrapText="false"/>
      <protection hidden="false" locked="true"/>
    </xf>
    <xf applyAlignment="true" applyBorder="true" applyFont="true" applyProtection="false" borderId="0" fillId="0" fontId="25" numFmtId="166" xfId="0">
      <alignment horizontal="justify" indent="0" shrinkToFit="false" textRotation="0" vertical="center" wrapText="true"/>
      <protection hidden="false" locked="true"/>
    </xf>
    <xf applyAlignment="true" applyBorder="false" applyFont="true" applyProtection="false" borderId="0" fillId="4" fontId="25" numFmtId="164" xfId="0">
      <alignment horizontal="justify" indent="0" shrinkToFit="false" textRotation="0" vertical="center" wrapText="false"/>
      <protection hidden="false" locked="true"/>
    </xf>
    <xf applyAlignment="true" applyBorder="false" applyFont="true" applyProtection="false" borderId="0" fillId="4" fontId="25" numFmtId="167" xfId="0">
      <alignment horizontal="justify" indent="0" shrinkToFit="false" textRotation="0" vertical="center" wrapText="true"/>
      <protection hidden="false" locked="true"/>
    </xf>
    <xf applyAlignment="true" applyBorder="false" applyFont="true" applyProtection="false" borderId="0" fillId="4" fontId="25" numFmtId="164" xfId="0">
      <alignment horizontal="justify" indent="0" shrinkToFit="false" textRotation="0" vertical="center" wrapText="true"/>
      <protection hidden="false" locked="true"/>
    </xf>
    <xf applyAlignment="true" applyBorder="false" applyFont="true" applyProtection="false" borderId="0" fillId="0" fontId="27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28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5" fontId="8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6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1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0" numFmtId="169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2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3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5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6" fontId="5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5" fontId="8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25" numFmtId="167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25" numFmtId="167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6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6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5" fontId="31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6" fontId="31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31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EEEEEE"/>
      <rgbColor rgb="FFFF0000"/>
      <rgbColor rgb="FF00FF00"/>
      <rgbColor rgb="FF0000FF"/>
      <rgbColor rgb="FFCCFF00"/>
      <rgbColor rgb="FFFF0066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66"/>
      <rgbColor rgb="FFFFFF99"/>
      <rgbColor rgb="FF99CCFF"/>
      <rgbColor rgb="FFFF99CC"/>
      <rgbColor rgb="FFCC99FF"/>
      <rgbColor rgb="FFFFCC99"/>
      <rgbColor rgb="FF3399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AP32"/>
  <sheetViews>
    <sheetView colorId="64" defaultGridColor="true" rightToLeft="false" showFormulas="false" showGridLines="true" showOutlineSymbols="true" showRowColHeaders="true" showZeros="true" tabSelected="true" topLeftCell="AJ14" view="normal" windowProtection="false" workbookViewId="0" zoomScale="100" zoomScaleNormal="100" zoomScalePageLayoutView="100">
      <selection activeCell="AB8" activeCellId="0" pane="topLeft" sqref="AB8:AP31"/>
    </sheetView>
  </sheetViews>
  <sheetFormatPr defaultRowHeight="14.05"/>
  <cols>
    <col collapsed="false" hidden="false" max="1" min="1" style="0" width="8.6734693877551"/>
    <col collapsed="false" hidden="false" max="2" min="2" style="0" width="20.2857142857143"/>
    <col collapsed="false" hidden="false" max="3" min="3" style="0" width="18.5765306122449"/>
    <col collapsed="false" hidden="false" max="4" min="4" style="0" width="15.4234693877551"/>
    <col collapsed="false" hidden="false" max="5" min="5" style="0" width="16"/>
    <col collapsed="false" hidden="false" max="6" min="6" style="0" width="21.4285714285714"/>
    <col collapsed="false" hidden="false" max="7" min="7" style="0" width="24.8571428571429"/>
    <col collapsed="false" hidden="false" max="8" min="8" style="0" width="14.8571428571429"/>
    <col collapsed="false" hidden="false" max="9" min="9" style="0" width="16.8571428571429"/>
    <col collapsed="false" hidden="false" max="10" min="10" style="0" width="17.4234693877551"/>
    <col collapsed="false" hidden="false" max="12" min="11" style="0" width="13.0051020408163"/>
    <col collapsed="false" hidden="false" max="13" min="13" style="0" width="18.5765306122449"/>
    <col collapsed="false" hidden="false" max="15" min="14" style="0" width="20.7091836734694"/>
    <col collapsed="false" hidden="false" max="28" min="16" style="0" width="18.5765306122449"/>
    <col collapsed="false" hidden="false" max="29" min="29" style="0" width="23.8571428571429"/>
    <col collapsed="false" hidden="false" max="30" min="30" style="0" width="18.5765306122449"/>
    <col collapsed="false" hidden="false" max="31" min="31" style="0" width="27.2857142857143"/>
    <col collapsed="false" hidden="false" max="32" min="32" style="0" width="13.4285714285714"/>
    <col collapsed="false" hidden="false" max="33" min="33" style="0" width="16.5663265306122"/>
    <col collapsed="false" hidden="false" max="34" min="34" style="0" width="14.4285714285714"/>
    <col collapsed="false" hidden="false" max="35" min="35" style="0" width="15.1479591836735"/>
    <col collapsed="false" hidden="false" max="36" min="36" style="0" width="11.1428571428571"/>
    <col collapsed="false" hidden="false" max="37" min="37" style="0" width="13.1377551020408"/>
    <col collapsed="false" hidden="false" max="38" min="38" style="0" width="11.5714285714286"/>
    <col collapsed="false" hidden="false" max="39" min="39" style="0" width="16.8571428571429"/>
    <col collapsed="false" hidden="false" max="40" min="40" style="0" width="17.4234693877551"/>
    <col collapsed="false" hidden="false" max="41" min="41" style="0" width="13.4285714285714"/>
    <col collapsed="false" hidden="false" max="42" min="42" style="0" width="14.0051020408163"/>
    <col collapsed="false" hidden="false" max="1025" min="43" style="0" width="8.6734693877551"/>
  </cols>
  <sheetData>
    <row collapsed="false" customFormat="false" customHeight="false" hidden="false" ht="24.85" outlineLevel="0" r="2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collapsed="false" customFormat="false" customHeight="false" hidden="false" ht="24.85" outlineLevel="0" r="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collapsed="false" customFormat="false" customHeight="false" hidden="false" ht="24.85" outlineLevel="0" r="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F4" s="0" t="s">
        <v>1</v>
      </c>
    </row>
    <row collapsed="false" customFormat="false" customHeight="false" hidden="false" ht="24.85" outlineLevel="0" r="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collapsed="false" customFormat="false" customHeight="true" hidden="false" ht="39.95" outlineLevel="0" r="6">
      <c r="B6" s="3"/>
      <c r="C6" s="4" t="s">
        <v>2</v>
      </c>
      <c r="D6" s="4"/>
      <c r="E6" s="3"/>
      <c r="F6" s="5" t="s">
        <v>3</v>
      </c>
      <c r="G6" s="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6"/>
      <c r="Z6" s="3"/>
      <c r="AA6" s="3"/>
      <c r="AB6" s="3"/>
      <c r="AC6" s="3"/>
      <c r="AD6" s="3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collapsed="false" customFormat="false" customHeight="true" hidden="false" ht="37.5" outlineLevel="0" r="7">
      <c r="B7" s="3"/>
      <c r="C7" s="8" t="s">
        <v>4</v>
      </c>
      <c r="D7" s="8" t="s">
        <v>5</v>
      </c>
      <c r="E7" s="9" t="s">
        <v>6</v>
      </c>
      <c r="F7" s="3" t="s">
        <v>7</v>
      </c>
      <c r="G7" s="3" t="s">
        <v>8</v>
      </c>
      <c r="H7" s="9" t="s">
        <v>9</v>
      </c>
      <c r="I7" s="3"/>
      <c r="J7" s="3"/>
      <c r="K7" s="3" t="s">
        <v>10</v>
      </c>
      <c r="L7" s="3" t="s">
        <v>11</v>
      </c>
      <c r="M7" s="3"/>
      <c r="N7" s="3"/>
      <c r="O7" s="3"/>
      <c r="P7" s="3"/>
      <c r="Q7" s="3"/>
      <c r="R7" s="3"/>
      <c r="S7" s="7"/>
      <c r="T7" s="7"/>
      <c r="U7" s="7"/>
      <c r="V7" s="7"/>
      <c r="W7" s="7"/>
      <c r="X7" s="7"/>
      <c r="Y7" s="3"/>
      <c r="Z7" s="3"/>
      <c r="AA7" s="3"/>
      <c r="AB7" s="10"/>
      <c r="AC7" s="11"/>
      <c r="AD7" s="3"/>
      <c r="AE7" s="12"/>
      <c r="AF7" s="13"/>
      <c r="AG7" s="13"/>
      <c r="AH7" s="13"/>
      <c r="AI7" s="13"/>
      <c r="AJ7" s="7"/>
      <c r="AK7" s="7"/>
      <c r="AL7" s="7"/>
      <c r="AM7" s="7"/>
      <c r="AN7" s="7"/>
      <c r="AO7" s="7"/>
      <c r="AP7" s="7"/>
    </row>
    <row collapsed="false" customFormat="false" customHeight="true" hidden="false" ht="141.75" outlineLevel="0" r="8">
      <c r="B8" s="3"/>
      <c r="C8" s="3"/>
      <c r="D8" s="3"/>
      <c r="E8" s="9"/>
      <c r="F8" s="3"/>
      <c r="G8" s="3"/>
      <c r="H8" s="9"/>
      <c r="I8" s="3"/>
      <c r="J8" s="11" t="s">
        <v>12</v>
      </c>
      <c r="K8" s="14" t="s">
        <v>13</v>
      </c>
      <c r="L8" s="14"/>
      <c r="M8" s="15" t="s">
        <v>14</v>
      </c>
      <c r="N8" s="15"/>
      <c r="O8" s="16" t="s">
        <v>15</v>
      </c>
      <c r="P8" s="15" t="s">
        <v>16</v>
      </c>
      <c r="Q8" s="15" t="s">
        <v>17</v>
      </c>
      <c r="R8" s="15" t="s">
        <v>18</v>
      </c>
      <c r="S8" s="15" t="s">
        <v>19</v>
      </c>
      <c r="T8" s="17" t="s">
        <v>20</v>
      </c>
      <c r="U8" s="15" t="s">
        <v>21</v>
      </c>
      <c r="V8" s="15" t="s">
        <v>22</v>
      </c>
      <c r="W8" s="15" t="s">
        <v>23</v>
      </c>
      <c r="X8" s="15" t="s">
        <v>24</v>
      </c>
      <c r="Y8" s="15" t="s">
        <v>25</v>
      </c>
      <c r="Z8" s="15" t="s">
        <v>26</v>
      </c>
      <c r="AA8" s="15" t="s">
        <v>27</v>
      </c>
      <c r="AB8" s="18" t="s">
        <v>28</v>
      </c>
      <c r="AC8" s="11"/>
      <c r="AD8" s="11"/>
      <c r="AE8" s="12"/>
      <c r="AF8" s="19" t="s">
        <v>29</v>
      </c>
      <c r="AG8" s="19" t="s">
        <v>30</v>
      </c>
      <c r="AH8" s="19" t="s">
        <v>31</v>
      </c>
      <c r="AI8" s="19" t="s">
        <v>32</v>
      </c>
      <c r="AJ8" s="19" t="s">
        <v>33</v>
      </c>
      <c r="AK8" s="19" t="s">
        <v>34</v>
      </c>
      <c r="AL8" s="19" t="s">
        <v>35</v>
      </c>
      <c r="AM8" s="19"/>
      <c r="AN8" s="19"/>
      <c r="AO8" s="13" t="s">
        <v>24</v>
      </c>
      <c r="AP8" s="7" t="s">
        <v>36</v>
      </c>
    </row>
    <row collapsed="false" customFormat="false" customHeight="true" hidden="false" ht="39.95" outlineLevel="0" r="9">
      <c r="B9" s="20" t="s">
        <v>37</v>
      </c>
      <c r="C9" s="6" t="n">
        <f aca="false">16196.84+28862.75</f>
        <v>45059.59</v>
      </c>
      <c r="D9" s="6" t="n">
        <f aca="false">+C9*1.327</f>
        <v>59794.07593</v>
      </c>
      <c r="E9" s="21" t="n">
        <f aca="false">16196.84+28862.75</f>
        <v>45059.59</v>
      </c>
      <c r="F9" s="3"/>
      <c r="G9" s="3"/>
      <c r="H9" s="9"/>
      <c r="I9" s="3"/>
      <c r="J9" s="22" t="n">
        <f aca="false">+D9+G12</f>
        <v>110629.25638</v>
      </c>
      <c r="K9" s="23" t="n">
        <v>825.29</v>
      </c>
      <c r="L9" s="23" t="n">
        <f aca="false">+K9*1.327</f>
        <v>1095.15983</v>
      </c>
      <c r="M9" s="24" t="n">
        <f aca="false">+C9+C10+C11+K9</f>
        <v>51864.5</v>
      </c>
      <c r="N9" s="25" t="s">
        <v>38</v>
      </c>
      <c r="O9" s="24" t="s">
        <v>39</v>
      </c>
      <c r="P9" s="24" t="n">
        <f aca="false">59467.16-M9</f>
        <v>7602.66</v>
      </c>
      <c r="Q9" s="24" t="n">
        <f aca="false">+M9+P9</f>
        <v>59467.16</v>
      </c>
      <c r="R9" s="26" t="s">
        <v>40</v>
      </c>
      <c r="S9" s="27" t="n">
        <f aca="false">+M9*1.327</f>
        <v>68824.1915</v>
      </c>
      <c r="T9" s="27" t="n">
        <f aca="false">+AE9+AE18+AE23</f>
        <v>67729.03167</v>
      </c>
      <c r="U9" s="28" t="n">
        <f aca="false">+AM9+AM18+AM23</f>
        <v>67460.98</v>
      </c>
      <c r="V9" s="28" t="n">
        <f aca="false">+U9/1.327</f>
        <v>50837.2117558403</v>
      </c>
      <c r="W9" s="28" t="n">
        <v>51700.58</v>
      </c>
      <c r="X9" s="27" t="n">
        <f aca="false">+S9-U9</f>
        <v>1363.21149999999</v>
      </c>
      <c r="Y9" s="27" t="n">
        <f aca="false">+S9/1.327-W9+893.33</f>
        <v>1057.25</v>
      </c>
      <c r="Z9" s="28" t="n">
        <f aca="false">+P9+Y9</f>
        <v>8659.91</v>
      </c>
      <c r="AA9" s="28" t="n">
        <v>893.33</v>
      </c>
      <c r="AB9" s="29" t="n">
        <f aca="false">8659.91-AA9</f>
        <v>7766.58</v>
      </c>
      <c r="AC9" s="30" t="s">
        <v>37</v>
      </c>
      <c r="AD9" s="31" t="n">
        <f aca="false">+AE9+AE10+AE11+AE12</f>
        <v>120856.94964</v>
      </c>
      <c r="AE9" s="22" t="n">
        <f aca="false">+D9</f>
        <v>59794.07593</v>
      </c>
      <c r="AF9" s="32"/>
      <c r="AG9" s="32" t="n">
        <v>22353</v>
      </c>
      <c r="AH9" s="32" t="n">
        <v>28880.11</v>
      </c>
      <c r="AI9" s="32" t="n">
        <f aca="false">5897.19</f>
        <v>5897.19</v>
      </c>
      <c r="AJ9" s="32" t="n">
        <f aca="false">7325.04/12*4</f>
        <v>2441.68</v>
      </c>
      <c r="AK9" s="32"/>
      <c r="AL9" s="33"/>
      <c r="AM9" s="34" t="n">
        <f aca="false">+AF9+AG9+AH9+AI9+AJ9+AK9+AL9</f>
        <v>59571.98</v>
      </c>
      <c r="AN9" s="35" t="n">
        <f aca="false">+AM9+AM10+AM11</f>
        <v>117597.6</v>
      </c>
      <c r="AO9" s="36" t="n">
        <f aca="false">+AE9-AM9</f>
        <v>222.095929999989</v>
      </c>
      <c r="AP9" s="12" t="n">
        <f aca="false">+AO9+AO10+AO11+AO12</f>
        <v>3259.34963999999</v>
      </c>
    </row>
    <row collapsed="false" customFormat="false" customHeight="true" hidden="false" ht="39.95" outlineLevel="0" r="10">
      <c r="B10" s="37" t="s">
        <v>41</v>
      </c>
      <c r="C10" s="6" t="n">
        <v>4070.32</v>
      </c>
      <c r="D10" s="6" t="n">
        <f aca="false">+C10*1.327</f>
        <v>5401.31464</v>
      </c>
      <c r="E10" s="21" t="n">
        <v>4070.32</v>
      </c>
      <c r="F10" s="3"/>
      <c r="G10" s="3"/>
      <c r="H10" s="9"/>
      <c r="I10" s="3"/>
      <c r="J10" s="22" t="n">
        <f aca="false">+D10+G13</f>
        <v>13505.1444</v>
      </c>
      <c r="K10" s="23"/>
      <c r="L10" s="23" t="n">
        <f aca="false">+K10*1.327</f>
        <v>0</v>
      </c>
      <c r="M10" s="38"/>
      <c r="N10" s="25"/>
      <c r="O10" s="38"/>
      <c r="P10" s="38"/>
      <c r="Q10" s="24" t="n">
        <f aca="false">+M10+P10</f>
        <v>0</v>
      </c>
      <c r="R10" s="39"/>
      <c r="S10" s="40"/>
      <c r="T10" s="40"/>
      <c r="U10" s="40"/>
      <c r="V10" s="28" t="n">
        <f aca="false">+U10/1.327</f>
        <v>0</v>
      </c>
      <c r="W10" s="40"/>
      <c r="X10" s="27" t="n">
        <f aca="false">+S10-U10</f>
        <v>0</v>
      </c>
      <c r="Y10" s="27" t="n">
        <f aca="false">+S10/1.327-W10</f>
        <v>0</v>
      </c>
      <c r="Z10" s="27"/>
      <c r="AA10" s="27"/>
      <c r="AB10" s="41"/>
      <c r="AC10" s="30" t="s">
        <v>42</v>
      </c>
      <c r="AD10" s="31"/>
      <c r="AE10" s="42" t="n">
        <f aca="false">+G12</f>
        <v>50835.18045</v>
      </c>
      <c r="AF10" s="32" t="n">
        <v>16957.74</v>
      </c>
      <c r="AG10" s="32"/>
      <c r="AH10" s="32"/>
      <c r="AI10" s="32" t="n">
        <f aca="false">10480.73+3148.98+300</f>
        <v>13929.71</v>
      </c>
      <c r="AJ10" s="32" t="n">
        <f aca="false">7325.04/12*8</f>
        <v>4883.36</v>
      </c>
      <c r="AK10" s="32" t="n">
        <v>12226.65</v>
      </c>
      <c r="AL10" s="33"/>
      <c r="AM10" s="35" t="n">
        <f aca="false">+AF10+AG10+AH10+AI10+AJ10+AK10+AL10</f>
        <v>47997.46</v>
      </c>
      <c r="AN10" s="35"/>
      <c r="AO10" s="36" t="n">
        <f aca="false">+AE10-AM10</f>
        <v>2837.72045</v>
      </c>
      <c r="AP10" s="7"/>
    </row>
    <row collapsed="false" customFormat="false" customHeight="true" hidden="false" ht="39.95" outlineLevel="0" r="11">
      <c r="B11" s="37" t="s">
        <v>43</v>
      </c>
      <c r="C11" s="6" t="n">
        <v>1909.3</v>
      </c>
      <c r="D11" s="6" t="n">
        <f aca="false">+C11*1.327</f>
        <v>2533.6411</v>
      </c>
      <c r="E11" s="21" t="n">
        <v>1909.3</v>
      </c>
      <c r="F11" s="3"/>
      <c r="G11" s="3"/>
      <c r="H11" s="9"/>
      <c r="I11" s="3"/>
      <c r="J11" s="22" t="n">
        <f aca="false">+D11+G14</f>
        <v>6351.03527</v>
      </c>
      <c r="K11" s="23"/>
      <c r="L11" s="23" t="n">
        <f aca="false">+K11*1.327</f>
        <v>0</v>
      </c>
      <c r="M11" s="38"/>
      <c r="N11" s="25"/>
      <c r="O11" s="38"/>
      <c r="P11" s="38"/>
      <c r="Q11" s="24" t="n">
        <f aca="false">+M11+P11</f>
        <v>0</v>
      </c>
      <c r="R11" s="39"/>
      <c r="S11" s="40"/>
      <c r="T11" s="40"/>
      <c r="U11" s="40"/>
      <c r="V11" s="28" t="n">
        <f aca="false">+U11/1.327</f>
        <v>0</v>
      </c>
      <c r="W11" s="40"/>
      <c r="X11" s="27" t="n">
        <f aca="false">+S11-U11</f>
        <v>0</v>
      </c>
      <c r="Y11" s="27" t="n">
        <f aca="false">+S11/1.327-W11</f>
        <v>0</v>
      </c>
      <c r="Z11" s="27" t="n">
        <f aca="false">+P11+Y11</f>
        <v>0</v>
      </c>
      <c r="AA11" s="27"/>
      <c r="AB11" s="41"/>
      <c r="AC11" s="30" t="s">
        <v>44</v>
      </c>
      <c r="AD11" s="31"/>
      <c r="AE11" s="19" t="n">
        <f aca="false">(5244.81+2312.21)*1.327</f>
        <v>10028.16554</v>
      </c>
      <c r="AF11" s="32"/>
      <c r="AG11" s="32"/>
      <c r="AH11" s="32"/>
      <c r="AI11" s="32" t="n">
        <v>10028.16</v>
      </c>
      <c r="AJ11" s="32"/>
      <c r="AK11" s="32"/>
      <c r="AL11" s="33"/>
      <c r="AM11" s="35" t="n">
        <f aca="false">+AF11+AG11+AH11+AI11+AJ11+AK11+AL11</f>
        <v>10028.16</v>
      </c>
      <c r="AN11" s="35"/>
      <c r="AO11" s="36" t="n">
        <f aca="false">+AE11-AM11</f>
        <v>0.00554000000011001</v>
      </c>
      <c r="AP11" s="7"/>
    </row>
    <row collapsed="false" customFormat="false" customHeight="true" hidden="false" ht="39.95" outlineLevel="0" r="12">
      <c r="B12" s="37" t="s">
        <v>42</v>
      </c>
      <c r="C12" s="6"/>
      <c r="D12" s="6"/>
      <c r="E12" s="21"/>
      <c r="F12" s="6" t="n">
        <f aca="false">13767.71+24540.64</f>
        <v>38308.35</v>
      </c>
      <c r="G12" s="6" t="n">
        <f aca="false">+F12*1.327</f>
        <v>50835.18045</v>
      </c>
      <c r="H12" s="21" t="n">
        <f aca="false">13767.71+24540.64</f>
        <v>38308.35</v>
      </c>
      <c r="I12" s="6" t="n">
        <f aca="false">++C9+F12</f>
        <v>83367.94</v>
      </c>
      <c r="J12" s="22"/>
      <c r="K12" s="43"/>
      <c r="L12" s="23" t="n">
        <f aca="false">+K12*1.327</f>
        <v>0</v>
      </c>
      <c r="M12" s="38"/>
      <c r="N12" s="25"/>
      <c r="O12" s="38"/>
      <c r="P12" s="38"/>
      <c r="Q12" s="24" t="n">
        <f aca="false">+M12+P12</f>
        <v>0</v>
      </c>
      <c r="R12" s="39"/>
      <c r="S12" s="40"/>
      <c r="T12" s="40"/>
      <c r="U12" s="40"/>
      <c r="V12" s="28" t="n">
        <f aca="false">+U12/1.327</f>
        <v>0</v>
      </c>
      <c r="W12" s="40"/>
      <c r="X12" s="27" t="n">
        <f aca="false">+S12-U12</f>
        <v>0</v>
      </c>
      <c r="Y12" s="27" t="n">
        <f aca="false">+S12/1.327-W12</f>
        <v>0</v>
      </c>
      <c r="Z12" s="27" t="n">
        <f aca="false">+P12+Y12</f>
        <v>0</v>
      </c>
      <c r="AA12" s="27"/>
      <c r="AB12" s="41"/>
      <c r="AC12" s="30" t="s">
        <v>45</v>
      </c>
      <c r="AD12" s="31"/>
      <c r="AE12" s="33" t="n">
        <f aca="false">150.36*1.327</f>
        <v>199.52772</v>
      </c>
      <c r="AF12" s="32"/>
      <c r="AG12" s="32"/>
      <c r="AH12" s="32"/>
      <c r="AI12" s="44"/>
      <c r="AJ12" s="32"/>
      <c r="AK12" s="32"/>
      <c r="AL12" s="33"/>
      <c r="AM12" s="33" t="n">
        <f aca="false">+AF12+AG12+AH12+AI12+AJ12+AK12+AL12</f>
        <v>0</v>
      </c>
      <c r="AN12" s="35"/>
      <c r="AO12" s="36" t="n">
        <f aca="false">+AE12-AM12</f>
        <v>199.52772</v>
      </c>
      <c r="AP12" s="7"/>
    </row>
    <row collapsed="false" customFormat="false" customHeight="true" hidden="false" ht="39.95" outlineLevel="0" r="13">
      <c r="B13" s="37" t="s">
        <v>46</v>
      </c>
      <c r="C13" s="6"/>
      <c r="D13" s="6"/>
      <c r="E13" s="21"/>
      <c r="F13" s="6" t="n">
        <v>6106.88</v>
      </c>
      <c r="G13" s="6" t="n">
        <f aca="false">+F13*1.327</f>
        <v>8103.82976</v>
      </c>
      <c r="H13" s="21" t="n">
        <v>6106.88</v>
      </c>
      <c r="I13" s="6" t="n">
        <f aca="false">++C10+F13</f>
        <v>10177.2</v>
      </c>
      <c r="J13" s="22"/>
      <c r="K13" s="23"/>
      <c r="L13" s="23" t="n">
        <f aca="false">+K13*1.327</f>
        <v>0</v>
      </c>
      <c r="M13" s="38"/>
      <c r="N13" s="25"/>
      <c r="O13" s="38"/>
      <c r="P13" s="38"/>
      <c r="Q13" s="24" t="n">
        <f aca="false">+M13+P13</f>
        <v>0</v>
      </c>
      <c r="R13" s="45"/>
      <c r="S13" s="37"/>
      <c r="T13" s="37"/>
      <c r="U13" s="37"/>
      <c r="V13" s="28" t="n">
        <f aca="false">+U13/1.327</f>
        <v>0</v>
      </c>
      <c r="W13" s="37"/>
      <c r="X13" s="27" t="n">
        <f aca="false">+S13-U13</f>
        <v>0</v>
      </c>
      <c r="Y13" s="27" t="n">
        <f aca="false">+S13/1.327-W13</f>
        <v>0</v>
      </c>
      <c r="Z13" s="27" t="n">
        <f aca="false">+P13+Y13</f>
        <v>0</v>
      </c>
      <c r="AA13" s="27"/>
      <c r="AB13" s="41"/>
      <c r="AC13" s="30"/>
      <c r="AD13" s="45"/>
      <c r="AE13" s="7"/>
      <c r="AF13" s="32"/>
      <c r="AG13" s="32"/>
      <c r="AH13" s="32"/>
      <c r="AI13" s="32"/>
      <c r="AJ13" s="32"/>
      <c r="AK13" s="32"/>
      <c r="AL13" s="33"/>
      <c r="AM13" s="33" t="n">
        <f aca="false">+AF13+AG13+AH13+AI13+AJ13+AK13+AL13</f>
        <v>0</v>
      </c>
      <c r="AN13" s="35"/>
      <c r="AO13" s="36" t="n">
        <f aca="false">+AE13-AM13</f>
        <v>0</v>
      </c>
      <c r="AP13" s="7"/>
    </row>
    <row collapsed="false" customFormat="false" customHeight="true" hidden="false" ht="39.95" outlineLevel="0" r="14">
      <c r="B14" s="37" t="s">
        <v>47</v>
      </c>
      <c r="C14" s="6"/>
      <c r="D14" s="6"/>
      <c r="E14" s="21"/>
      <c r="F14" s="6" t="n">
        <v>2876.71</v>
      </c>
      <c r="G14" s="6" t="n">
        <f aca="false">+F14*1.327</f>
        <v>3817.39417</v>
      </c>
      <c r="H14" s="21" t="n">
        <v>2876.71</v>
      </c>
      <c r="I14" s="6" t="n">
        <f aca="false">++C11+F14</f>
        <v>4786.01</v>
      </c>
      <c r="J14" s="22"/>
      <c r="K14" s="23"/>
      <c r="L14" s="23" t="n">
        <f aca="false">+K14*1.327</f>
        <v>0</v>
      </c>
      <c r="M14" s="38"/>
      <c r="N14" s="25"/>
      <c r="O14" s="38"/>
      <c r="P14" s="38"/>
      <c r="Q14" s="24" t="n">
        <f aca="false">+M14+P14</f>
        <v>0</v>
      </c>
      <c r="R14" s="39"/>
      <c r="S14" s="7"/>
      <c r="T14" s="7"/>
      <c r="U14" s="7"/>
      <c r="V14" s="28" t="n">
        <f aca="false">+U14/1.327</f>
        <v>0</v>
      </c>
      <c r="W14" s="7"/>
      <c r="X14" s="27" t="n">
        <f aca="false">+S14-U14</f>
        <v>0</v>
      </c>
      <c r="Y14" s="27" t="n">
        <f aca="false">+S14/1.327-W14</f>
        <v>0</v>
      </c>
      <c r="Z14" s="27" t="n">
        <f aca="false">+P14+Y14</f>
        <v>0</v>
      </c>
      <c r="AA14" s="27"/>
      <c r="AB14" s="41"/>
      <c r="AC14" s="30"/>
      <c r="AD14" s="13"/>
      <c r="AE14" s="7"/>
      <c r="AF14" s="32"/>
      <c r="AG14" s="32"/>
      <c r="AH14" s="32"/>
      <c r="AI14" s="32"/>
      <c r="AJ14" s="32"/>
      <c r="AK14" s="32"/>
      <c r="AL14" s="33"/>
      <c r="AM14" s="33" t="n">
        <f aca="false">+AF14+AG14+AH14+AI14+AJ14+AK14+AL14</f>
        <v>0</v>
      </c>
      <c r="AN14" s="35"/>
      <c r="AO14" s="36" t="n">
        <f aca="false">+AE14-AM14</f>
        <v>0</v>
      </c>
      <c r="AP14" s="7"/>
    </row>
    <row collapsed="false" customFormat="false" customHeight="true" hidden="false" ht="39.95" outlineLevel="0" r="15">
      <c r="B15" s="20" t="s">
        <v>48</v>
      </c>
      <c r="C15" s="6" t="n">
        <v>1256.08</v>
      </c>
      <c r="D15" s="6" t="n">
        <f aca="false">+C15*1.327</f>
        <v>1666.81816</v>
      </c>
      <c r="E15" s="21" t="n">
        <v>1256.08</v>
      </c>
      <c r="F15" s="6" t="n">
        <v>2495.47</v>
      </c>
      <c r="G15" s="6" t="n">
        <f aca="false">+F15*1.327</f>
        <v>3311.48869</v>
      </c>
      <c r="H15" s="21" t="n">
        <v>2495.47</v>
      </c>
      <c r="I15" s="6" t="n">
        <f aca="false">+F15+C15</f>
        <v>3751.55</v>
      </c>
      <c r="J15" s="22" t="n">
        <f aca="false">+D15+G15</f>
        <v>4978.30685</v>
      </c>
      <c r="K15" s="23" t="n">
        <v>235.53</v>
      </c>
      <c r="L15" s="23" t="n">
        <f aca="false">+K15*1.327</f>
        <v>312.54831</v>
      </c>
      <c r="M15" s="24" t="n">
        <f aca="false">+C15+F15+C16+F16+K15+K16</f>
        <v>8935.44</v>
      </c>
      <c r="N15" s="25" t="s">
        <v>49</v>
      </c>
      <c r="O15" s="46" t="s">
        <v>50</v>
      </c>
      <c r="P15" s="24" t="n">
        <f aca="false">9234.59-M15</f>
        <v>299.150000000001</v>
      </c>
      <c r="Q15" s="24" t="n">
        <f aca="false">+M15+P15</f>
        <v>9234.59</v>
      </c>
      <c r="R15" s="26" t="s">
        <v>51</v>
      </c>
      <c r="S15" s="27" t="n">
        <f aca="false">+M15*1.327</f>
        <v>11857.32888</v>
      </c>
      <c r="T15" s="27" t="n">
        <f aca="false">+AE15+AE21+AE17+AE22</f>
        <v>12952.48871</v>
      </c>
      <c r="U15" s="28" t="n">
        <f aca="false">+AM15+AM17+AM22+AM21</f>
        <v>3141.39</v>
      </c>
      <c r="V15" s="28" t="n">
        <f aca="false">+U15/1.327</f>
        <v>2367.2871137905</v>
      </c>
      <c r="W15" s="28" t="n">
        <v>2363.66</v>
      </c>
      <c r="X15" s="27" t="n">
        <f aca="false">+S15-U15</f>
        <v>8715.93888</v>
      </c>
      <c r="Y15" s="27" t="n">
        <f aca="false">+S15/1.327-W15</f>
        <v>6571.78</v>
      </c>
      <c r="Z15" s="27" t="n">
        <f aca="false">+P15+Y15</f>
        <v>6870.93</v>
      </c>
      <c r="AA15" s="27"/>
      <c r="AB15" s="41" t="n">
        <v>6870.93</v>
      </c>
      <c r="AC15" s="30" t="s">
        <v>48</v>
      </c>
      <c r="AD15" s="31" t="n">
        <f aca="false">+AE15+AE16+AE17</f>
        <v>8810.32456</v>
      </c>
      <c r="AE15" s="22" t="n">
        <f aca="false">+J15</f>
        <v>4978.30685</v>
      </c>
      <c r="AF15" s="32"/>
      <c r="AG15" s="44" t="n">
        <v>1005.24</v>
      </c>
      <c r="AH15" s="44" t="n">
        <v>1226.49</v>
      </c>
      <c r="AI15" s="32"/>
      <c r="AJ15" s="32"/>
      <c r="AK15" s="32"/>
      <c r="AL15" s="33"/>
      <c r="AM15" s="35" t="n">
        <f aca="false">+AF15+AG15+AH15+AI15+AJ15+AK15+AL15</f>
        <v>2231.73</v>
      </c>
      <c r="AN15" s="35" t="n">
        <f aca="false">+AM15</f>
        <v>2231.73</v>
      </c>
      <c r="AO15" s="36" t="n">
        <f aca="false">+AE15-AM15</f>
        <v>2746.57685</v>
      </c>
      <c r="AP15" s="12" t="n">
        <f aca="false">+AO15+AO16+AO17</f>
        <v>6578.59456</v>
      </c>
    </row>
    <row collapsed="false" customFormat="false" customHeight="true" hidden="false" ht="39.95" outlineLevel="0" r="16">
      <c r="B16" s="37" t="s">
        <v>52</v>
      </c>
      <c r="C16" s="6" t="n">
        <v>1378.13</v>
      </c>
      <c r="D16" s="6" t="n">
        <f aca="false">+C16*1.327</f>
        <v>1828.77851</v>
      </c>
      <c r="E16" s="21" t="n">
        <v>1378.13</v>
      </c>
      <c r="F16" s="6" t="n">
        <v>2025.23</v>
      </c>
      <c r="G16" s="6" t="n">
        <f aca="false">+F16*1.327</f>
        <v>2687.48021</v>
      </c>
      <c r="H16" s="21" t="n">
        <v>2025.23</v>
      </c>
      <c r="I16" s="6" t="n">
        <f aca="false">++C16+F16</f>
        <v>3403.36</v>
      </c>
      <c r="J16" s="22" t="n">
        <f aca="false">+D16+G16</f>
        <v>4516.25872</v>
      </c>
      <c r="K16" s="23" t="n">
        <v>1545</v>
      </c>
      <c r="L16" s="23" t="n">
        <f aca="false">+K16*1.327</f>
        <v>2050.215</v>
      </c>
      <c r="M16" s="38"/>
      <c r="N16" s="25"/>
      <c r="O16" s="38"/>
      <c r="P16" s="38"/>
      <c r="Q16" s="24" t="n">
        <f aca="false">+M16+P16</f>
        <v>0</v>
      </c>
      <c r="R16" s="39"/>
      <c r="S16" s="47"/>
      <c r="T16" s="47"/>
      <c r="U16" s="47"/>
      <c r="V16" s="28" t="n">
        <f aca="false">+U16/1.327</f>
        <v>0</v>
      </c>
      <c r="W16" s="47"/>
      <c r="X16" s="27" t="n">
        <f aca="false">+S16-U16</f>
        <v>0</v>
      </c>
      <c r="Y16" s="27" t="n">
        <f aca="false">+S16/1.327-W16</f>
        <v>0</v>
      </c>
      <c r="Z16" s="27" t="n">
        <f aca="false">+P16+Y16</f>
        <v>0</v>
      </c>
      <c r="AA16" s="27"/>
      <c r="AB16" s="41"/>
      <c r="AC16" s="30" t="s">
        <v>53</v>
      </c>
      <c r="AD16" s="31"/>
      <c r="AE16" s="35" t="n">
        <f aca="false">+(1557+269.91)*1.327</f>
        <v>2424.30957</v>
      </c>
      <c r="AF16" s="32"/>
      <c r="AG16" s="44"/>
      <c r="AH16" s="44"/>
      <c r="AI16" s="32"/>
      <c r="AJ16" s="32"/>
      <c r="AK16" s="32"/>
      <c r="AL16" s="33"/>
      <c r="AM16" s="35" t="n">
        <f aca="false">+AF16+AG16+AH16+AI16+AJ16+AK16+AL16</f>
        <v>0</v>
      </c>
      <c r="AN16" s="35"/>
      <c r="AO16" s="36" t="n">
        <f aca="false">+AE16-AM16</f>
        <v>2424.30957</v>
      </c>
      <c r="AP16" s="7"/>
    </row>
    <row collapsed="false" customFormat="false" customHeight="true" hidden="false" ht="39.95" outlineLevel="0" r="17">
      <c r="B17" s="20" t="s">
        <v>54</v>
      </c>
      <c r="C17" s="37"/>
      <c r="D17" s="37"/>
      <c r="E17" s="37"/>
      <c r="F17" s="37"/>
      <c r="G17" s="37"/>
      <c r="H17" s="37"/>
      <c r="I17" s="37"/>
      <c r="J17" s="37"/>
      <c r="K17" s="23" t="n">
        <v>150.36</v>
      </c>
      <c r="L17" s="23" t="n">
        <f aca="false">+K17*1.327</f>
        <v>199.52772</v>
      </c>
      <c r="M17" s="38" t="n">
        <f aca="false">+K17</f>
        <v>150.36</v>
      </c>
      <c r="N17" s="25" t="s">
        <v>55</v>
      </c>
      <c r="O17" s="38"/>
      <c r="P17" s="38"/>
      <c r="Q17" s="24" t="n">
        <f aca="false">+M17+P17</f>
        <v>150.36</v>
      </c>
      <c r="R17" s="45" t="s">
        <v>56</v>
      </c>
      <c r="S17" s="38" t="n">
        <f aca="false">+M17*1.327</f>
        <v>199.52772</v>
      </c>
      <c r="T17" s="38" t="n">
        <f aca="false">+AE12</f>
        <v>199.52772</v>
      </c>
      <c r="U17" s="38" t="n">
        <f aca="false">+AM12</f>
        <v>0</v>
      </c>
      <c r="V17" s="28" t="n">
        <f aca="false">+U17/1.327</f>
        <v>0</v>
      </c>
      <c r="W17" s="38"/>
      <c r="X17" s="27" t="n">
        <f aca="false">+S17-U17</f>
        <v>199.52772</v>
      </c>
      <c r="Y17" s="27" t="n">
        <f aca="false">+S17/1.327-W17</f>
        <v>150.36</v>
      </c>
      <c r="Z17" s="28" t="n">
        <f aca="false">+P17+Y17</f>
        <v>150.36</v>
      </c>
      <c r="AA17" s="28"/>
      <c r="AB17" s="29" t="n">
        <v>150.36</v>
      </c>
      <c r="AC17" s="30" t="s">
        <v>57</v>
      </c>
      <c r="AD17" s="38"/>
      <c r="AE17" s="19" t="n">
        <f aca="false">+(825.29+235.53)*1.327</f>
        <v>1407.70814</v>
      </c>
      <c r="AF17" s="32"/>
      <c r="AG17" s="44"/>
      <c r="AH17" s="44"/>
      <c r="AI17" s="32"/>
      <c r="AJ17" s="32"/>
      <c r="AK17" s="32"/>
      <c r="AL17" s="33"/>
      <c r="AM17" s="33" t="n">
        <f aca="false">+AF17+AG17+AH17+AI17+AJ17+AK17+AL17</f>
        <v>0</v>
      </c>
      <c r="AN17" s="35"/>
      <c r="AO17" s="36" t="n">
        <f aca="false">+AE17-AM17</f>
        <v>1407.70814</v>
      </c>
      <c r="AP17" s="7"/>
    </row>
    <row collapsed="false" customFormat="false" customHeight="true" hidden="false" ht="39.95" outlineLevel="0" r="18">
      <c r="B18" s="20" t="s">
        <v>58</v>
      </c>
      <c r="C18" s="37"/>
      <c r="D18" s="37"/>
      <c r="E18" s="37"/>
      <c r="F18" s="37"/>
      <c r="G18" s="37"/>
      <c r="H18" s="37"/>
      <c r="I18" s="37"/>
      <c r="J18" s="37"/>
      <c r="K18" s="23" t="n">
        <v>9639.12</v>
      </c>
      <c r="L18" s="23" t="n">
        <f aca="false">+K18*1.327</f>
        <v>12791.11224</v>
      </c>
      <c r="M18" s="24" t="n">
        <f aca="false">+K18+F12+F13+F14</f>
        <v>56931.06</v>
      </c>
      <c r="N18" s="25" t="s">
        <v>59</v>
      </c>
      <c r="O18" s="24"/>
      <c r="P18" s="24"/>
      <c r="Q18" s="24" t="n">
        <f aca="false">+M18+P18</f>
        <v>56931.06</v>
      </c>
      <c r="R18" s="28" t="s">
        <v>60</v>
      </c>
      <c r="S18" s="27" t="n">
        <f aca="false">+M18*1.327</f>
        <v>75547.51662</v>
      </c>
      <c r="T18" s="27" t="n">
        <f aca="false">+AE10+AE11+AE19+AE24+AE25+AE16</f>
        <v>75547.51249</v>
      </c>
      <c r="U18" s="28" t="n">
        <f aca="false">+AM10+AM11+AM19+AM24+AM25</f>
        <v>69695.72</v>
      </c>
      <c r="V18" s="28" t="n">
        <f aca="false">+U18/1.327</f>
        <v>52521.2660135644</v>
      </c>
      <c r="W18" s="28" t="n">
        <v>52712.34</v>
      </c>
      <c r="X18" s="27" t="n">
        <f aca="false">+S18-U18</f>
        <v>5851.79661999999</v>
      </c>
      <c r="Y18" s="27" t="n">
        <f aca="false">+S18/1.327-W18</f>
        <v>4218.72</v>
      </c>
      <c r="Z18" s="28" t="n">
        <f aca="false">+P18+Y18</f>
        <v>4218.72</v>
      </c>
      <c r="AA18" s="28"/>
      <c r="AB18" s="29" t="n">
        <v>4218.72</v>
      </c>
      <c r="AC18" s="30" t="s">
        <v>41</v>
      </c>
      <c r="AD18" s="31" t="n">
        <f aca="false">+AE18+AE19+AE20</f>
        <v>13712.28497</v>
      </c>
      <c r="AE18" s="42" t="n">
        <f aca="false">+D10</f>
        <v>5401.31464</v>
      </c>
      <c r="AF18" s="32"/>
      <c r="AG18" s="44" t="n">
        <v>5400.9</v>
      </c>
      <c r="AH18" s="44"/>
      <c r="AI18" s="32"/>
      <c r="AJ18" s="32"/>
      <c r="AK18" s="32"/>
      <c r="AL18" s="33"/>
      <c r="AM18" s="34" t="n">
        <f aca="false">+AF18+AG18+AH18+AI18+AJ18+AK18+AL18</f>
        <v>5400.9</v>
      </c>
      <c r="AN18" s="35" t="n">
        <f aca="false">+AM18+AM19+AM20</f>
        <v>13690.8</v>
      </c>
      <c r="AO18" s="36" t="n">
        <f aca="false">+AE18-AM18</f>
        <v>0.414639999999963</v>
      </c>
      <c r="AP18" s="12" t="n">
        <f aca="false">+AO18+AO19+AO20</f>
        <v>21.48497</v>
      </c>
    </row>
    <row collapsed="false" customFormat="false" customHeight="true" hidden="false" ht="39.95" outlineLevel="0" r="19">
      <c r="B19" s="20" t="s">
        <v>61</v>
      </c>
      <c r="C19" s="37"/>
      <c r="D19" s="37"/>
      <c r="E19" s="37"/>
      <c r="F19" s="37"/>
      <c r="G19" s="37"/>
      <c r="H19" s="37"/>
      <c r="I19" s="37"/>
      <c r="J19" s="37"/>
      <c r="K19" s="23" t="n">
        <v>269.91</v>
      </c>
      <c r="L19" s="23" t="n">
        <f aca="false">+K19*1.327</f>
        <v>358.17057</v>
      </c>
      <c r="M19" s="38" t="n">
        <f aca="false">+K19</f>
        <v>269.91</v>
      </c>
      <c r="N19" s="25"/>
      <c r="O19" s="38"/>
      <c r="P19" s="38"/>
      <c r="Q19" s="24" t="n">
        <f aca="false">+M19+P19</f>
        <v>269.91</v>
      </c>
      <c r="R19" s="39" t="s">
        <v>62</v>
      </c>
      <c r="S19" s="40" t="n">
        <f aca="false">+M19*1.327</f>
        <v>358.17057</v>
      </c>
      <c r="T19" s="40" t="n">
        <f aca="false">+AE20</f>
        <v>358.17057</v>
      </c>
      <c r="U19" s="48" t="n">
        <f aca="false">AM20</f>
        <v>342.49</v>
      </c>
      <c r="V19" s="28" t="n">
        <f aca="false">+U19/1.327</f>
        <v>258.093443858327</v>
      </c>
      <c r="W19" s="48" t="n">
        <v>258.09</v>
      </c>
      <c r="X19" s="27" t="n">
        <f aca="false">+S19-U19</f>
        <v>15.68057</v>
      </c>
      <c r="Y19" s="27" t="n">
        <f aca="false">+S19/1.327-W19</f>
        <v>11.8200000000001</v>
      </c>
      <c r="Z19" s="28" t="n">
        <f aca="false">+P19+Y19</f>
        <v>11.8200000000001</v>
      </c>
      <c r="AA19" s="28"/>
      <c r="AB19" s="29" t="n">
        <v>11.82</v>
      </c>
      <c r="AC19" s="30" t="n">
        <f aca="false">+B13</f>
        <v>0</v>
      </c>
      <c r="AD19" s="31"/>
      <c r="AE19" s="42" t="n">
        <f aca="false">+G13-151.03</f>
        <v>7952.79976</v>
      </c>
      <c r="AF19" s="49"/>
      <c r="AG19" s="44" t="n">
        <v>7947.41</v>
      </c>
      <c r="AH19" s="44"/>
      <c r="AI19" s="32"/>
      <c r="AJ19" s="32"/>
      <c r="AK19" s="32"/>
      <c r="AL19" s="33"/>
      <c r="AM19" s="35" t="n">
        <f aca="false">+AF19+AG19+AH19+AI19+AJ19+AK19+AL19</f>
        <v>7947.41</v>
      </c>
      <c r="AN19" s="35"/>
      <c r="AO19" s="36" t="n">
        <f aca="false">+AE19-AM19</f>
        <v>5.38976000000002</v>
      </c>
      <c r="AP19" s="7"/>
    </row>
    <row collapsed="false" customFormat="false" customHeight="true" hidden="false" ht="39.95" outlineLevel="0" r="20">
      <c r="B20" s="7"/>
      <c r="C20" s="7"/>
      <c r="D20" s="7"/>
      <c r="E20" s="7"/>
      <c r="F20" s="7"/>
      <c r="G20" s="7"/>
      <c r="H20" s="7"/>
      <c r="I20" s="7"/>
      <c r="J20" s="50" t="n">
        <f aca="false">+J9+J10+J11+J15+J16</f>
        <v>139980.00162</v>
      </c>
      <c r="K20" s="50" t="n">
        <f aca="false">SUM(K8:K19)</f>
        <v>12665.21</v>
      </c>
      <c r="L20" s="50" t="n">
        <f aca="false">SUM(L8:L19)</f>
        <v>16806.73367</v>
      </c>
      <c r="M20" s="42" t="n">
        <f aca="false">SUM(M8:M19)</f>
        <v>118151.27</v>
      </c>
      <c r="N20" s="25"/>
      <c r="O20" s="42"/>
      <c r="P20" s="42"/>
      <c r="Q20" s="42"/>
      <c r="R20" s="40"/>
      <c r="S20" s="40"/>
      <c r="T20" s="40"/>
      <c r="U20" s="40"/>
      <c r="V20" s="28" t="n">
        <f aca="false">+U20/1.327</f>
        <v>0</v>
      </c>
      <c r="W20" s="40"/>
      <c r="X20" s="27" t="n">
        <f aca="false">+S20-U20</f>
        <v>0</v>
      </c>
      <c r="Y20" s="27" t="n">
        <f aca="false">+X20/1.327</f>
        <v>0</v>
      </c>
      <c r="Z20" s="27" t="n">
        <f aca="false">+P20+Y20</f>
        <v>0</v>
      </c>
      <c r="AA20" s="27"/>
      <c r="AB20" s="41"/>
      <c r="AC20" s="30" t="s">
        <v>63</v>
      </c>
      <c r="AD20" s="31"/>
      <c r="AE20" s="19" t="n">
        <f aca="false">+S19</f>
        <v>358.17057</v>
      </c>
      <c r="AF20" s="32"/>
      <c r="AG20" s="32" t="n">
        <v>342.49</v>
      </c>
      <c r="AH20" s="32"/>
      <c r="AI20" s="32"/>
      <c r="AJ20" s="32"/>
      <c r="AK20" s="32"/>
      <c r="AL20" s="33"/>
      <c r="AM20" s="35" t="n">
        <f aca="false">+AF20+AG20+AH20+AI20+AJ20+AK20+AL20</f>
        <v>342.49</v>
      </c>
      <c r="AN20" s="35"/>
      <c r="AO20" s="36" t="n">
        <f aca="false">+AE20-AM20</f>
        <v>15.68057</v>
      </c>
      <c r="AP20" s="7"/>
    </row>
    <row collapsed="false" customFormat="false" customHeight="true" hidden="false" ht="39.95" outlineLevel="0" r="21">
      <c r="B21" s="7"/>
      <c r="C21" s="7"/>
      <c r="D21" s="7"/>
      <c r="E21" s="12"/>
      <c r="F21" s="7"/>
      <c r="G21" s="7"/>
      <c r="H21" s="7"/>
      <c r="I21" s="7" t="s">
        <v>64</v>
      </c>
      <c r="K21" s="7" t="n">
        <f aca="false">+K20*1.327</f>
        <v>16806.73367</v>
      </c>
      <c r="L21" s="7"/>
      <c r="M21" s="19" t="n">
        <f aca="false">+M20*1.327</f>
        <v>156786.73529</v>
      </c>
      <c r="N21" s="25"/>
      <c r="O21" s="19"/>
      <c r="P21" s="19"/>
      <c r="Q21" s="19"/>
      <c r="R21" s="51"/>
      <c r="S21" s="52" t="n">
        <f aca="false">SUM(S9:S20)</f>
        <v>156786.73529</v>
      </c>
      <c r="T21" s="53" t="n">
        <f aca="false">SUM(T9:T20)</f>
        <v>156786.73116</v>
      </c>
      <c r="U21" s="53" t="n">
        <f aca="false">SUM(U9:U20)</f>
        <v>140640.58</v>
      </c>
      <c r="V21" s="53" t="n">
        <f aca="false">SUM(V9:V20)</f>
        <v>105983.858327054</v>
      </c>
      <c r="W21" s="53" t="n">
        <f aca="false">SUM(W9:W20)</f>
        <v>107034.67</v>
      </c>
      <c r="X21" s="54" t="n">
        <f aca="false">SUM(X9:X20)</f>
        <v>16146.15529</v>
      </c>
      <c r="Y21" s="53" t="n">
        <f aca="false">SUM(Y9:Y20)</f>
        <v>12009.93</v>
      </c>
      <c r="Z21" s="27" t="n">
        <f aca="false">SUM(Z9:Z20)</f>
        <v>19911.74</v>
      </c>
      <c r="AA21" s="27" t="n">
        <f aca="false">+Z21-AA9</f>
        <v>19018.41</v>
      </c>
      <c r="AB21" s="41" t="n">
        <f aca="false">SUM(AB9:AB20)</f>
        <v>19018.41</v>
      </c>
      <c r="AC21" s="55" t="s">
        <v>52</v>
      </c>
      <c r="AD21" s="56" t="n">
        <f aca="false">+AE21+AE22</f>
        <v>6566.47372</v>
      </c>
      <c r="AE21" s="42" t="n">
        <f aca="false">+J16</f>
        <v>4516.25872</v>
      </c>
      <c r="AF21" s="32"/>
      <c r="AG21" s="57"/>
      <c r="AH21" s="57" t="n">
        <v>909.66</v>
      </c>
      <c r="AI21" s="32"/>
      <c r="AJ21" s="32"/>
      <c r="AK21" s="32"/>
      <c r="AL21" s="33"/>
      <c r="AM21" s="35" t="n">
        <f aca="false">+AF21+AG21+AH21+AI21+AJ21+AK21+AL21</f>
        <v>909.66</v>
      </c>
      <c r="AN21" s="35" t="n">
        <f aca="false">+AM21</f>
        <v>909.66</v>
      </c>
      <c r="AO21" s="36" t="n">
        <f aca="false">+AE21-AM21</f>
        <v>3606.59872</v>
      </c>
      <c r="AP21" s="12" t="n">
        <f aca="false">+AO21+AO22</f>
        <v>5656.81372</v>
      </c>
    </row>
    <row collapsed="false" customFormat="false" customHeight="false" hidden="false" ht="15.25" outlineLevel="0" r="22">
      <c r="B22" s="7"/>
      <c r="C22" s="19"/>
      <c r="D22" s="19"/>
      <c r="E22" s="19"/>
      <c r="F22" s="19"/>
      <c r="G22" s="19"/>
      <c r="H22" s="7"/>
      <c r="I22" s="7"/>
      <c r="J22" s="7"/>
      <c r="K22" s="7"/>
      <c r="L22" s="7"/>
      <c r="M22" s="7"/>
      <c r="N22" s="7"/>
      <c r="O22" s="7"/>
      <c r="P22" s="7"/>
      <c r="Q22" s="7"/>
      <c r="R22" s="40"/>
      <c r="S22" s="40"/>
      <c r="T22" s="40"/>
      <c r="U22" s="40"/>
      <c r="V22" s="40"/>
      <c r="W22" s="40"/>
      <c r="X22" s="27" t="n">
        <f aca="false">+S22-U22</f>
        <v>0</v>
      </c>
      <c r="Y22" s="27"/>
      <c r="Z22" s="27"/>
      <c r="AA22" s="27"/>
      <c r="AB22" s="27"/>
      <c r="AC22" s="55" t="s">
        <v>65</v>
      </c>
      <c r="AD22" s="56"/>
      <c r="AE22" s="19" t="n">
        <f aca="false">1545*1.327</f>
        <v>2050.215</v>
      </c>
      <c r="AF22" s="32"/>
      <c r="AG22" s="32"/>
      <c r="AH22" s="32"/>
      <c r="AI22" s="32"/>
      <c r="AJ22" s="32"/>
      <c r="AK22" s="32"/>
      <c r="AL22" s="33"/>
      <c r="AM22" s="35" t="n">
        <f aca="false">+AF22+AG22+AH22+AI22+AJ22+AK22+AL22</f>
        <v>0</v>
      </c>
      <c r="AN22" s="35"/>
      <c r="AO22" s="36" t="n">
        <f aca="false">+AE22-AM22</f>
        <v>2050.215</v>
      </c>
      <c r="AP22" s="7"/>
    </row>
    <row collapsed="false" customFormat="false" customHeight="false" hidden="false" ht="15.25" outlineLevel="0" r="23">
      <c r="B23" s="7"/>
      <c r="C23" s="19"/>
      <c r="D23" s="19"/>
      <c r="E23" s="19"/>
      <c r="F23" s="19" t="s">
        <v>66</v>
      </c>
      <c r="G23" s="19"/>
      <c r="H23" s="7"/>
      <c r="I23" s="7"/>
      <c r="J23" s="12"/>
      <c r="K23" s="12"/>
      <c r="L23" s="12"/>
      <c r="M23" s="7"/>
      <c r="N23" s="7"/>
      <c r="O23" s="7"/>
      <c r="P23" s="7"/>
      <c r="Q23" s="7"/>
      <c r="R23" s="51"/>
      <c r="S23" s="51"/>
      <c r="T23" s="51"/>
      <c r="U23" s="51"/>
      <c r="V23" s="51"/>
      <c r="W23" s="51"/>
      <c r="X23" s="27" t="n">
        <f aca="false">+S23-U23</f>
        <v>0</v>
      </c>
      <c r="Y23" s="27"/>
      <c r="Z23" s="27"/>
      <c r="AA23" s="27"/>
      <c r="AB23" s="27"/>
      <c r="AC23" s="55" t="n">
        <f aca="false">+B11</f>
        <v>0</v>
      </c>
      <c r="AD23" s="56" t="n">
        <f aca="false">+AE23+AE24+AE25</f>
        <v>6840.69827</v>
      </c>
      <c r="AE23" s="42" t="n">
        <f aca="false">+D11</f>
        <v>2533.6411</v>
      </c>
      <c r="AF23" s="32"/>
      <c r="AG23" s="32"/>
      <c r="AH23" s="32"/>
      <c r="AI23" s="44" t="n">
        <f aca="false">1904.22+583.88</f>
        <v>2488.1</v>
      </c>
      <c r="AJ23" s="32"/>
      <c r="AK23" s="32"/>
      <c r="AL23" s="33"/>
      <c r="AM23" s="34" t="n">
        <f aca="false">+AF23+AG23+AH23+AI23+AJ23+AK23+AL23</f>
        <v>2488.1</v>
      </c>
      <c r="AN23" s="35" t="n">
        <f aca="false">++AM23+AM24</f>
        <v>6210.79</v>
      </c>
      <c r="AO23" s="36" t="n">
        <f aca="false">+AE23-AM23</f>
        <v>45.5410999999999</v>
      </c>
      <c r="AP23" s="12" t="n">
        <f aca="false">+AO23+AO24+AO25</f>
        <v>629.90827</v>
      </c>
    </row>
    <row collapsed="false" customFormat="false" customHeight="false" hidden="false" ht="15.25" outlineLevel="0" r="24">
      <c r="B24" s="7" t="n">
        <f aca="false">+AE15+AE16+AE17</f>
        <v>8810.32456</v>
      </c>
      <c r="C24" s="19" t="s">
        <v>67</v>
      </c>
      <c r="D24" s="19" t="n">
        <f aca="false">+D15+G15</f>
        <v>4978.30685</v>
      </c>
      <c r="E24" s="19" t="n">
        <f aca="false">+J15+L15</f>
        <v>5290.85516</v>
      </c>
      <c r="F24" s="19" t="n">
        <f aca="false">+AN15</f>
        <v>2231.73</v>
      </c>
      <c r="G24" s="19" t="n">
        <f aca="false">+E24-F24</f>
        <v>3059.12516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40"/>
      <c r="S24" s="40"/>
      <c r="T24" s="40"/>
      <c r="U24" s="40"/>
      <c r="V24" s="40"/>
      <c r="W24" s="51"/>
      <c r="X24" s="40"/>
      <c r="Y24" s="40"/>
      <c r="Z24" s="40"/>
      <c r="AA24" s="40"/>
      <c r="AB24" s="40"/>
      <c r="AC24" s="55" t="n">
        <f aca="false">+B14</f>
        <v>0</v>
      </c>
      <c r="AD24" s="56"/>
      <c r="AE24" s="42" t="n">
        <f aca="false">+G14</f>
        <v>3817.39417</v>
      </c>
      <c r="AF24" s="32"/>
      <c r="AG24" s="32"/>
      <c r="AH24" s="32"/>
      <c r="AI24" s="57" t="n">
        <v>3722.69</v>
      </c>
      <c r="AJ24" s="32"/>
      <c r="AK24" s="32"/>
      <c r="AL24" s="33"/>
      <c r="AM24" s="35" t="n">
        <f aca="false">+AF24+AG24+AH24+AI24+AJ24+AK24+AL24</f>
        <v>3722.69</v>
      </c>
      <c r="AN24" s="35"/>
      <c r="AO24" s="36" t="n">
        <f aca="false">+AE24-AM24</f>
        <v>94.70417</v>
      </c>
      <c r="AP24" s="7"/>
    </row>
    <row collapsed="false" customFormat="false" customHeight="false" hidden="false" ht="15.25" outlineLevel="0" r="25">
      <c r="B25" s="7"/>
      <c r="C25" s="19" t="s">
        <v>68</v>
      </c>
      <c r="D25" s="19" t="n">
        <f aca="false">+D16+G16+L16</f>
        <v>6566.47372</v>
      </c>
      <c r="E25" s="19"/>
      <c r="F25" s="19" t="n">
        <f aca="false">+AN21</f>
        <v>909.66</v>
      </c>
      <c r="G25" s="19" t="n">
        <f aca="false">+D25-F25</f>
        <v>5656.81372</v>
      </c>
      <c r="H25" s="7"/>
      <c r="I25" s="7"/>
      <c r="J25" s="7"/>
      <c r="K25" s="7"/>
      <c r="L25" s="7"/>
      <c r="M25" s="7" t="n">
        <f aca="false">+(M18+M19+M17+M9)*1.327</f>
        <v>144929.40641</v>
      </c>
      <c r="N25" s="7"/>
      <c r="O25" s="7"/>
      <c r="P25" s="7"/>
      <c r="Q25" s="7"/>
      <c r="R25" s="40"/>
      <c r="S25" s="40"/>
      <c r="T25" s="40"/>
      <c r="U25" s="40"/>
      <c r="V25" s="40"/>
      <c r="W25" s="40" t="n">
        <f aca="false">+W21+AA9</f>
        <v>107928</v>
      </c>
      <c r="X25" s="40"/>
      <c r="Y25" s="40"/>
      <c r="Z25" s="40"/>
      <c r="AA25" s="40"/>
      <c r="AB25" s="40"/>
      <c r="AC25" s="55" t="s">
        <v>69</v>
      </c>
      <c r="AD25" s="56"/>
      <c r="AE25" s="19" t="n">
        <f aca="false">369*1.327</f>
        <v>489.663</v>
      </c>
      <c r="AF25" s="32"/>
      <c r="AG25" s="32"/>
      <c r="AH25" s="32"/>
      <c r="AI25" s="49"/>
      <c r="AJ25" s="32"/>
      <c r="AK25" s="32"/>
      <c r="AL25" s="33"/>
      <c r="AM25" s="33" t="n">
        <f aca="false">+AF25+AG25+AH25+AI25+AJ25+AK25+AL25</f>
        <v>0</v>
      </c>
      <c r="AN25" s="7"/>
      <c r="AO25" s="36" t="n">
        <f aca="false">+AE25-AM25</f>
        <v>489.663</v>
      </c>
      <c r="AP25" s="7"/>
    </row>
    <row collapsed="false" customFormat="false" customHeight="false" hidden="false" ht="15.25" outlineLevel="0" r="26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 t="n">
        <f aca="false">+M15*1.327</f>
        <v>11857.32888</v>
      </c>
      <c r="N26" s="7"/>
      <c r="O26" s="7"/>
      <c r="P26" s="7"/>
      <c r="Q26" s="7"/>
      <c r="R26" s="7"/>
      <c r="S26" s="7"/>
      <c r="T26" s="7"/>
      <c r="U26" s="7"/>
      <c r="V26" s="7"/>
      <c r="W26" s="7" t="n">
        <f aca="false">+W25*1.327</f>
        <v>143220.456</v>
      </c>
      <c r="X26" s="7"/>
      <c r="Y26" s="7"/>
      <c r="Z26" s="7"/>
      <c r="AA26" s="7"/>
      <c r="AB26" s="7"/>
      <c r="AC26" s="7"/>
      <c r="AD26" s="7"/>
      <c r="AE26" s="7"/>
      <c r="AF26" s="32"/>
      <c r="AG26" s="32"/>
      <c r="AH26" s="32"/>
      <c r="AI26" s="32"/>
      <c r="AJ26" s="32"/>
      <c r="AK26" s="32"/>
      <c r="AL26" s="33"/>
      <c r="AM26" s="33" t="n">
        <f aca="false">+AF26+AG26+AH26+AI26+AJ26+AK26+AL26</f>
        <v>0</v>
      </c>
      <c r="AN26" s="7"/>
      <c r="AO26" s="36" t="n">
        <f aca="false">+AE26-AM26</f>
        <v>0</v>
      </c>
      <c r="AP26" s="7"/>
    </row>
    <row collapsed="false" customFormat="false" customHeight="false" hidden="false" ht="15.25" outlineLevel="0" r="27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36" t="n">
        <f aca="false">SUM(AD8:AD26)</f>
        <v>156786.73116</v>
      </c>
      <c r="AE27" s="58" t="n">
        <f aca="false">SUM(AE9:AE26)</f>
        <v>156786.73116</v>
      </c>
      <c r="AF27" s="7"/>
      <c r="AG27" s="7"/>
      <c r="AH27" s="7"/>
      <c r="AI27" s="7"/>
      <c r="AJ27" s="7"/>
      <c r="AK27" s="7"/>
      <c r="AL27" s="7"/>
      <c r="AM27" s="33" t="n">
        <f aca="false">+AF27+AG27+AH27+AI27+AJ27+AK27+AL27</f>
        <v>0</v>
      </c>
      <c r="AN27" s="7"/>
      <c r="AO27" s="59"/>
      <c r="AP27" s="7"/>
    </row>
    <row collapsed="false" customFormat="false" customHeight="false" hidden="false" ht="15.25" outlineLevel="0" r="28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36" t="n">
        <f aca="false">SUM(AF9:AF27)</f>
        <v>16957.74</v>
      </c>
      <c r="AG28" s="36" t="n">
        <f aca="false">SUM(AG9:AG27)</f>
        <v>37049.04</v>
      </c>
      <c r="AH28" s="36" t="n">
        <f aca="false">SUM(AH9:AH27)</f>
        <v>31016.26</v>
      </c>
      <c r="AI28" s="36" t="n">
        <f aca="false">SUM(AI9:AI27)</f>
        <v>36065.85</v>
      </c>
      <c r="AJ28" s="36" t="n">
        <f aca="false">SUM(AJ9:AJ27)</f>
        <v>7325.04</v>
      </c>
      <c r="AK28" s="36" t="n">
        <f aca="false">SUM(AK9:AK27)</f>
        <v>12226.65</v>
      </c>
      <c r="AL28" s="36" t="n">
        <f aca="false">SUM(AL9:AL27)</f>
        <v>0</v>
      </c>
      <c r="AM28" s="36" t="n">
        <f aca="false">SUM(AM9:AM27)</f>
        <v>140640.58</v>
      </c>
      <c r="AN28" s="36" t="n">
        <f aca="false">SUM(AN9:AN27)</f>
        <v>140640.58</v>
      </c>
      <c r="AO28" s="36" t="n">
        <f aca="false">SUM(AO9:AO27)</f>
        <v>16146.15116</v>
      </c>
      <c r="AP28" s="36" t="n">
        <f aca="false">SUM(AP9:AP27)</f>
        <v>16146.15116</v>
      </c>
    </row>
    <row collapsed="false" customFormat="false" customHeight="false" hidden="false" ht="15.25" outlineLevel="0" r="29">
      <c r="B29" s="7"/>
      <c r="C29" s="7"/>
      <c r="D29" s="7"/>
      <c r="E29" s="7"/>
      <c r="F29" s="7"/>
      <c r="G29" s="7"/>
      <c r="H29" s="7"/>
      <c r="I29" s="7" t="n">
        <v>39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</row>
    <row collapsed="false" customFormat="false" customHeight="false" hidden="false" ht="15.25" outlineLevel="0" r="30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 t="n">
        <f aca="false">+AD15+AD21</f>
        <v>15376.79828</v>
      </c>
      <c r="AF30" s="7"/>
      <c r="AG30" s="7"/>
      <c r="AH30" s="7"/>
      <c r="AI30" s="7"/>
      <c r="AJ30" s="7"/>
      <c r="AK30" s="7"/>
      <c r="AL30" s="7"/>
      <c r="AM30" s="7"/>
      <c r="AN30" s="7"/>
      <c r="AO30" s="60" t="n">
        <f aca="false">+AE27-AN28</f>
        <v>16146.15116</v>
      </c>
      <c r="AP30" s="7"/>
    </row>
    <row collapsed="false" customFormat="false" customHeight="false" hidden="false" ht="14.05" outlineLevel="0" r="31">
      <c r="AN31" s="61"/>
    </row>
    <row collapsed="false" customFormat="false" customHeight="false" hidden="false" ht="14.05" outlineLevel="0" r="32">
      <c r="M32" s="61" t="n">
        <f aca="false">+K21-K32</f>
        <v>16806.73367</v>
      </c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</row>
  </sheetData>
  <mergeCells count="8">
    <mergeCell ref="B2:M5"/>
    <mergeCell ref="C6:D6"/>
    <mergeCell ref="F6:G6"/>
    <mergeCell ref="AD9:AD12"/>
    <mergeCell ref="AD15:AD16"/>
    <mergeCell ref="AD18:AD20"/>
    <mergeCell ref="AD21:AD22"/>
    <mergeCell ref="AD23:AD2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blackAndWhite="false" cellComments="none" copies="1" draft="false" firstPageNumber="0" fitToHeight="1" fitToWidth="1" horizontalDpi="300" orientation="landscape" pageOrder="downThenOver" paperSize="8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S65536"/>
  <sheetViews>
    <sheetView colorId="64" defaultGridColor="true" rightToLeft="false" showFormulas="false" showGridLines="true" showOutlineSymbols="true" showRowColHeaders="true" showZeros="true" tabSelected="false" topLeftCell="A7" view="normal" windowProtection="false" workbookViewId="0" zoomScale="100" zoomScaleNormal="100" zoomScalePageLayoutView="100">
      <selection activeCell="G17" activeCellId="1" pane="topLeft" sqref="AB8:AP31 G17"/>
    </sheetView>
  </sheetViews>
  <sheetFormatPr defaultRowHeight="14.05"/>
  <cols>
    <col collapsed="false" hidden="false" max="1" min="1" style="0" width="5.64285714285714"/>
    <col collapsed="false" hidden="false" max="2" min="2" style="0" width="14.2448979591837"/>
    <col collapsed="false" hidden="false" max="3" min="3" style="0" width="14.3826530612245"/>
    <col collapsed="false" hidden="false" max="4" min="4" style="0" width="15.4540816326531"/>
    <col collapsed="false" hidden="false" max="5" min="5" style="0" width="16.1275510204082"/>
    <col collapsed="false" hidden="false" max="6" min="6" style="0" width="17.7397959183673"/>
    <col collapsed="false" hidden="false" max="8" min="7" style="0" width="16.1275510204082"/>
    <col collapsed="false" hidden="false" max="9" min="9" style="0" width="22.1734693877551"/>
    <col collapsed="false" hidden="false" max="10" min="10" style="0" width="20.0255102040816"/>
    <col collapsed="false" hidden="false" max="11" min="11" style="0" width="14.7857142857143"/>
    <col collapsed="false" hidden="false" max="12" min="12" style="0" width="13.3010204081633"/>
    <col collapsed="false" hidden="false" max="13" min="13" style="0" width="14.7857142857143"/>
    <col collapsed="false" hidden="false" max="15" min="14" style="0" width="15.4540816326531"/>
    <col collapsed="false" hidden="false" max="16" min="16" style="0" width="18.0102040816327"/>
    <col collapsed="false" hidden="false" max="17" min="17" style="0" width="17.7397959183673"/>
    <col collapsed="false" hidden="false" max="19" min="18" style="0" width="25.515306122449"/>
    <col collapsed="false" hidden="false" max="1025" min="20" style="0" width="8.6734693877551"/>
  </cols>
  <sheetData>
    <row collapsed="false" customFormat="false" customHeight="false" hidden="false" ht="14.05" outlineLevel="0" r="1">
      <c r="A1" s="2"/>
      <c r="B1" s="62"/>
      <c r="C1" s="62"/>
      <c r="D1" s="62"/>
      <c r="E1" s="62"/>
      <c r="F1" s="62"/>
      <c r="G1" s="62"/>
      <c r="H1" s="1" t="s">
        <v>70</v>
      </c>
      <c r="I1" s="1"/>
      <c r="J1" s="1"/>
      <c r="K1" s="1"/>
      <c r="L1" s="1"/>
      <c r="M1" s="1"/>
      <c r="N1" s="1"/>
      <c r="O1" s="1"/>
      <c r="P1" s="1"/>
      <c r="Q1" s="1"/>
      <c r="R1" s="1"/>
    </row>
    <row collapsed="false" customFormat="false" customHeight="false" hidden="false" ht="14.05" outlineLevel="0" r="2">
      <c r="A2" s="2"/>
      <c r="B2" s="62"/>
      <c r="C2" s="62"/>
      <c r="D2" s="62"/>
      <c r="E2" s="62"/>
      <c r="F2" s="62"/>
      <c r="G2" s="62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collapsed="false" customFormat="false" customHeight="false" hidden="false" ht="14.05" outlineLevel="0" r="3">
      <c r="A3" s="2"/>
      <c r="B3" s="62"/>
      <c r="C3" s="62"/>
      <c r="D3" s="62"/>
      <c r="E3" s="62"/>
      <c r="F3" s="62"/>
      <c r="G3" s="62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collapsed="false" customFormat="false" customHeight="false" hidden="false" ht="15.25" outlineLevel="0" r="4">
      <c r="A4" s="3"/>
      <c r="B4" s="62"/>
      <c r="C4" s="62"/>
      <c r="D4" s="62"/>
      <c r="E4" s="62"/>
      <c r="F4" s="62"/>
      <c r="G4" s="62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collapsed="false" customFormat="false" customHeight="true" hidden="false" ht="37.5" outlineLevel="0" r="5">
      <c r="B5" s="63"/>
      <c r="C5" s="63"/>
      <c r="D5" s="63"/>
      <c r="E5" s="63"/>
      <c r="F5" s="64"/>
      <c r="G5" s="64"/>
      <c r="H5" s="64"/>
      <c r="I5" s="63"/>
      <c r="J5" s="65" t="s">
        <v>71</v>
      </c>
      <c r="K5" s="65"/>
      <c r="L5" s="65" t="s">
        <v>72</v>
      </c>
      <c r="M5" s="65"/>
      <c r="N5" s="63"/>
      <c r="O5" s="63"/>
      <c r="P5" s="63"/>
      <c r="Q5" s="63"/>
      <c r="R5" s="3"/>
      <c r="S5" s="3"/>
    </row>
    <row collapsed="false" customFormat="false" customHeight="true" hidden="false" ht="141.75" outlineLevel="0" r="6">
      <c r="B6" s="66" t="s">
        <v>73</v>
      </c>
      <c r="C6" s="66" t="s">
        <v>74</v>
      </c>
      <c r="D6" s="66" t="s">
        <v>75</v>
      </c>
      <c r="E6" s="66" t="s">
        <v>76</v>
      </c>
      <c r="F6" s="67" t="s">
        <v>77</v>
      </c>
      <c r="G6" s="67" t="s">
        <v>78</v>
      </c>
      <c r="H6" s="68" t="s">
        <v>79</v>
      </c>
      <c r="I6" s="66"/>
      <c r="J6" s="66" t="s">
        <v>4</v>
      </c>
      <c r="K6" s="66" t="s">
        <v>5</v>
      </c>
      <c r="L6" s="66" t="s">
        <v>7</v>
      </c>
      <c r="M6" s="66" t="s">
        <v>8</v>
      </c>
      <c r="N6" s="66" t="s">
        <v>80</v>
      </c>
      <c r="O6" s="66" t="s">
        <v>81</v>
      </c>
      <c r="P6" s="66" t="s">
        <v>82</v>
      </c>
      <c r="Q6" s="63" t="s">
        <v>83</v>
      </c>
      <c r="R6" s="3"/>
      <c r="S6" s="3"/>
    </row>
    <row collapsed="false" customFormat="false" customHeight="true" hidden="false" ht="39.95" outlineLevel="0" r="7">
      <c r="B7" s="30" t="s">
        <v>37</v>
      </c>
      <c r="C7" s="12" t="n">
        <v>3259.35</v>
      </c>
      <c r="D7" s="27" t="n">
        <f aca="false">+'MOF 2012 2013'!Y9</f>
        <v>1057.25</v>
      </c>
      <c r="E7" s="27" t="n">
        <f aca="false">+D7+D14</f>
        <v>1069.07</v>
      </c>
      <c r="F7" s="24" t="n">
        <v>6709.33</v>
      </c>
      <c r="G7" s="24" t="n">
        <f aca="false">+E7+F7-D14</f>
        <v>7766.58</v>
      </c>
      <c r="H7" s="24" t="n">
        <f aca="false">+G7*1.327</f>
        <v>10306.25166</v>
      </c>
      <c r="I7" s="69" t="s">
        <v>37</v>
      </c>
      <c r="J7" s="70" t="n">
        <v>15687.91</v>
      </c>
      <c r="K7" s="6" t="n">
        <f aca="false">+J7*1.327</f>
        <v>20817.85657</v>
      </c>
      <c r="L7" s="3"/>
      <c r="M7" s="3"/>
      <c r="N7" s="71" t="n">
        <f aca="false">+H7+H10+H13+H14</f>
        <v>15468.31596</v>
      </c>
      <c r="O7" s="72" t="n">
        <f aca="false">+K7+M11</f>
        <v>62453.54317</v>
      </c>
      <c r="P7" s="73" t="n">
        <f aca="false">+N7+O7</f>
        <v>77921.85913</v>
      </c>
      <c r="Q7" s="74" t="n">
        <f aca="false">+P7/1.327</f>
        <v>58720.3158477769</v>
      </c>
      <c r="R7" s="11"/>
      <c r="S7" s="15"/>
    </row>
    <row collapsed="false" customFormat="false" customHeight="true" hidden="false" ht="39.95" outlineLevel="0" r="8">
      <c r="B8" s="30" t="s">
        <v>48</v>
      </c>
      <c r="C8" s="12" t="n">
        <v>6578.6</v>
      </c>
      <c r="D8" s="27" t="n">
        <f aca="false">+'MOF 2012 2013'!Y15</f>
        <v>6571.78</v>
      </c>
      <c r="E8" s="27" t="n">
        <f aca="false">+(3059.12/1.327)+3.63</f>
        <v>2308.92012810852</v>
      </c>
      <c r="F8" s="46" t="s">
        <v>50</v>
      </c>
      <c r="G8" s="46" t="n">
        <f aca="false">+E8+299.15</f>
        <v>2608.07012810852</v>
      </c>
      <c r="H8" s="24" t="n">
        <f aca="false">+G8*1.327</f>
        <v>3460.90906000001</v>
      </c>
      <c r="I8" s="69" t="s">
        <v>41</v>
      </c>
      <c r="J8" s="70" t="n">
        <v>1686.19</v>
      </c>
      <c r="K8" s="6" t="n">
        <f aca="false">+J8*1.327</f>
        <v>2237.57413</v>
      </c>
      <c r="L8" s="3"/>
      <c r="M8" s="3"/>
      <c r="N8" s="71" t="n">
        <f aca="false">+H11</f>
        <v>21.48</v>
      </c>
      <c r="O8" s="72" t="n">
        <f aca="false">+K8+M12</f>
        <v>6712.70912</v>
      </c>
      <c r="P8" s="73" t="n">
        <f aca="false">+N8+O8</f>
        <v>6734.18912</v>
      </c>
      <c r="Q8" s="74" t="n">
        <f aca="false">+P8/1.327</f>
        <v>5074.74688771665</v>
      </c>
      <c r="R8" s="75"/>
      <c r="S8" s="22"/>
    </row>
    <row collapsed="false" customFormat="false" customHeight="true" hidden="false" ht="39.95" outlineLevel="0" r="9">
      <c r="B9" s="55" t="s">
        <v>52</v>
      </c>
      <c r="C9" s="12" t="n">
        <v>5656.81</v>
      </c>
      <c r="D9" s="27"/>
      <c r="E9" s="27" t="n">
        <f aca="false">+5656.81/1.327</f>
        <v>4262.856066315</v>
      </c>
      <c r="F9" s="38"/>
      <c r="G9" s="24" t="n">
        <f aca="false">+E9</f>
        <v>4262.856066315</v>
      </c>
      <c r="H9" s="24" t="n">
        <f aca="false">+G9*1.327</f>
        <v>5656.81</v>
      </c>
      <c r="I9" s="69" t="s">
        <v>43</v>
      </c>
      <c r="J9" s="70" t="n">
        <v>795.78</v>
      </c>
      <c r="K9" s="6" t="n">
        <f aca="false">+J9*1.327</f>
        <v>1056.00006</v>
      </c>
      <c r="L9" s="3"/>
      <c r="M9" s="3"/>
      <c r="N9" s="71" t="n">
        <f aca="false">+H12</f>
        <v>629.91</v>
      </c>
      <c r="O9" s="72" t="n">
        <f aca="false">+K9+M13</f>
        <v>3168.00018</v>
      </c>
      <c r="P9" s="73" t="n">
        <f aca="false">+N9+O9</f>
        <v>3797.91018</v>
      </c>
      <c r="Q9" s="74" t="n">
        <f aca="false">+P9/1.327</f>
        <v>2862.0272645064</v>
      </c>
      <c r="R9" s="75"/>
      <c r="S9" s="11"/>
    </row>
    <row collapsed="false" customFormat="false" customHeight="true" hidden="false" ht="39.95" outlineLevel="0" r="10">
      <c r="B10" s="30" t="s">
        <v>84</v>
      </c>
      <c r="C10" s="7"/>
      <c r="D10" s="27" t="n">
        <f aca="false">+'MOF 2012 2013'!Y17</f>
        <v>150.36</v>
      </c>
      <c r="E10" s="27" t="n">
        <f aca="false">+D10</f>
        <v>150.36</v>
      </c>
      <c r="F10" s="38"/>
      <c r="G10" s="24" t="n">
        <f aca="false">+E10</f>
        <v>150.36</v>
      </c>
      <c r="H10" s="24" t="n">
        <f aca="false">+G10*1.327</f>
        <v>199.52772</v>
      </c>
      <c r="I10" s="76" t="s">
        <v>85</v>
      </c>
      <c r="J10" s="77" t="n">
        <v>1265.35</v>
      </c>
      <c r="K10" s="6" t="n">
        <f aca="false">+J10*1.327</f>
        <v>1679.11945</v>
      </c>
      <c r="N10" s="78" t="n">
        <f aca="false">+H8</f>
        <v>3460.90906000001</v>
      </c>
      <c r="O10" s="79" t="n">
        <f aca="false">+K10+M14</f>
        <v>5037.38489</v>
      </c>
      <c r="P10" s="73" t="n">
        <f aca="false">+N10+O10</f>
        <v>8498.29395000001</v>
      </c>
      <c r="Q10" s="74" t="n">
        <f aca="false">+P10/1.327</f>
        <v>6404.14012810852</v>
      </c>
      <c r="R10" s="75"/>
      <c r="S10" s="11"/>
    </row>
    <row collapsed="false" customFormat="false" customHeight="true" hidden="false" ht="39.95" outlineLevel="0" r="11">
      <c r="B11" s="30" t="s">
        <v>86</v>
      </c>
      <c r="C11" s="12" t="n">
        <v>21.48</v>
      </c>
      <c r="D11" s="27" t="n">
        <f aca="false">+'MOF 2012 2013'!Y18</f>
        <v>4218.72</v>
      </c>
      <c r="E11" s="27" t="n">
        <f aca="false">+21.48/1.327</f>
        <v>16.1868877166541</v>
      </c>
      <c r="F11" s="24"/>
      <c r="G11" s="24" t="n">
        <f aca="false">+E11</f>
        <v>16.1868877166541</v>
      </c>
      <c r="H11" s="24" t="n">
        <f aca="false">+G11*1.327</f>
        <v>21.48</v>
      </c>
      <c r="I11" s="69" t="s">
        <v>42</v>
      </c>
      <c r="J11" s="6"/>
      <c r="K11" s="6"/>
      <c r="L11" s="6" t="n">
        <v>31375.8</v>
      </c>
      <c r="M11" s="6" t="n">
        <f aca="false">+L11*1.327</f>
        <v>41635.6866</v>
      </c>
      <c r="N11" s="80"/>
      <c r="O11" s="79"/>
      <c r="P11" s="73" t="n">
        <f aca="false">+N11+O11</f>
        <v>0</v>
      </c>
      <c r="Q11" s="74" t="n">
        <f aca="false">+P11/1.327</f>
        <v>0</v>
      </c>
      <c r="R11" s="75"/>
      <c r="S11" s="11"/>
    </row>
    <row collapsed="false" customFormat="false" customHeight="true" hidden="false" ht="39.95" outlineLevel="0" r="12">
      <c r="B12" s="30" t="s">
        <v>87</v>
      </c>
      <c r="C12" s="7" t="n">
        <v>629.91</v>
      </c>
      <c r="E12" s="27" t="n">
        <f aca="false">+C12/1.327</f>
        <v>474.687264506405</v>
      </c>
      <c r="F12" s="38"/>
      <c r="G12" s="24" t="n">
        <f aca="false">+E12</f>
        <v>474.687264506405</v>
      </c>
      <c r="H12" s="24" t="n">
        <f aca="false">+G12*1.327</f>
        <v>629.91</v>
      </c>
      <c r="I12" s="69" t="s">
        <v>46</v>
      </c>
      <c r="J12" s="6"/>
      <c r="K12" s="6"/>
      <c r="L12" s="6" t="n">
        <v>3372.37</v>
      </c>
      <c r="M12" s="6" t="n">
        <f aca="false">+L12*1.327</f>
        <v>4475.13499</v>
      </c>
      <c r="N12" s="80"/>
      <c r="O12" s="79"/>
      <c r="P12" s="73" t="n">
        <f aca="false">+N12+O12</f>
        <v>0</v>
      </c>
      <c r="Q12" s="74" t="n">
        <f aca="false">+P12/1.327</f>
        <v>0</v>
      </c>
      <c r="R12" s="75"/>
      <c r="S12" s="11"/>
    </row>
    <row collapsed="false" customFormat="false" customHeight="true" hidden="false" ht="39.95" outlineLevel="0" r="13">
      <c r="B13" s="81" t="s">
        <v>88</v>
      </c>
      <c r="C13" s="81"/>
      <c r="D13" s="81"/>
      <c r="E13" s="82" t="n">
        <f aca="false">+D11-E11-E12</f>
        <v>3727.84584777694</v>
      </c>
      <c r="F13" s="81"/>
      <c r="G13" s="83" t="n">
        <f aca="false">+E13</f>
        <v>3727.84584777694</v>
      </c>
      <c r="H13" s="24" t="n">
        <f aca="false">+G13*1.327</f>
        <v>4946.85144</v>
      </c>
      <c r="I13" s="69" t="s">
        <v>47</v>
      </c>
      <c r="J13" s="6"/>
      <c r="K13" s="6"/>
      <c r="L13" s="6" t="n">
        <v>1591.56</v>
      </c>
      <c r="M13" s="6" t="n">
        <f aca="false">+L13*1.327</f>
        <v>2112.00012</v>
      </c>
      <c r="N13" s="80"/>
      <c r="O13" s="84"/>
      <c r="P13" s="73" t="n">
        <f aca="false">+N13+O13</f>
        <v>0</v>
      </c>
      <c r="Q13" s="74" t="n">
        <f aca="false">+P13/1.327</f>
        <v>0</v>
      </c>
      <c r="R13" s="75"/>
      <c r="S13" s="11"/>
    </row>
    <row collapsed="false" customFormat="false" customHeight="true" hidden="false" ht="39.95" outlineLevel="0" r="14">
      <c r="B14" s="30" t="s">
        <v>89</v>
      </c>
      <c r="C14" s="7"/>
      <c r="D14" s="27" t="n">
        <f aca="false">+'MOF 2012 2013'!Y19</f>
        <v>11.8200000000001</v>
      </c>
      <c r="G14" s="85" t="n">
        <f aca="false">+D14</f>
        <v>11.8200000000001</v>
      </c>
      <c r="H14" s="24" t="n">
        <f aca="false">+G14*1.327</f>
        <v>15.6851400000001</v>
      </c>
      <c r="I14" s="76" t="s">
        <v>90</v>
      </c>
      <c r="L14" s="0" t="n">
        <v>2530.72</v>
      </c>
      <c r="M14" s="6" t="n">
        <f aca="false">+L14*1.327</f>
        <v>3358.26544</v>
      </c>
      <c r="N14" s="78"/>
      <c r="O14" s="84"/>
      <c r="P14" s="73" t="n">
        <f aca="false">+N14+O14</f>
        <v>0</v>
      </c>
      <c r="Q14" s="74" t="n">
        <f aca="false">+P14/1.327</f>
        <v>0</v>
      </c>
    </row>
    <row collapsed="false" customFormat="false" customHeight="true" hidden="false" ht="39.95" outlineLevel="0" r="15">
      <c r="B15" s="7"/>
      <c r="C15" s="7"/>
      <c r="D15" s="7"/>
      <c r="E15" s="7"/>
      <c r="H15" s="24" t="n">
        <f aca="false">+G15*1.327</f>
        <v>0</v>
      </c>
      <c r="I15" s="76" t="s">
        <v>68</v>
      </c>
      <c r="L15" s="0" t="n">
        <v>1684.43</v>
      </c>
      <c r="M15" s="6" t="n">
        <f aca="false">+L15*1.327</f>
        <v>2235.23861</v>
      </c>
      <c r="N15" s="78" t="n">
        <f aca="false">+H9</f>
        <v>5656.81</v>
      </c>
      <c r="O15" s="84" t="n">
        <f aca="false">+M15</f>
        <v>2235.23861</v>
      </c>
      <c r="P15" s="73" t="n">
        <f aca="false">+N15+O15</f>
        <v>7892.04861000001</v>
      </c>
      <c r="Q15" s="74" t="n">
        <f aca="false">+P15/1.327</f>
        <v>5947.286066315</v>
      </c>
    </row>
    <row collapsed="false" customFormat="false" customHeight="true" hidden="false" ht="39.95" outlineLevel="0" r="16">
      <c r="B16" s="22"/>
      <c r="C16" s="7"/>
      <c r="D16" s="7"/>
      <c r="E16" s="7"/>
      <c r="H16" s="24" t="n">
        <f aca="false">+G16*1.327</f>
        <v>0</v>
      </c>
      <c r="N16" s="86" t="n">
        <f aca="false">+N7+N8+N9+N10+N15</f>
        <v>25237.42502</v>
      </c>
      <c r="O16" s="87" t="n">
        <f aca="false">+O7+O8+O9+O10+O15</f>
        <v>79606.87597</v>
      </c>
      <c r="P16" s="88" t="n">
        <f aca="false">+P7+P8+P9+P10+P15</f>
        <v>104844.30099</v>
      </c>
      <c r="Q16" s="74" t="n">
        <f aca="false">+P16/1.327</f>
        <v>79008.5161944235</v>
      </c>
    </row>
    <row collapsed="false" customFormat="false" customHeight="true" hidden="false" ht="39.95" outlineLevel="0" r="17">
      <c r="B17" s="7"/>
      <c r="C17" s="36" t="n">
        <f aca="false">SUM(C7:C15)</f>
        <v>16146.15</v>
      </c>
      <c r="D17" s="36" t="n">
        <f aca="false">SUM(D7:D15)</f>
        <v>12009.93</v>
      </c>
      <c r="E17" s="36" t="n">
        <f aca="false">SUM(E7:E15)</f>
        <v>12009.9261944235</v>
      </c>
      <c r="F17" s="36"/>
      <c r="G17" s="36" t="n">
        <f aca="false">SUM(G7:G15)</f>
        <v>19018.4061944235</v>
      </c>
      <c r="H17" s="24" t="n">
        <f aca="false">+G17*1.327</f>
        <v>25237.42502</v>
      </c>
      <c r="N17" s="78"/>
      <c r="O17" s="84"/>
      <c r="P17" s="88" t="n">
        <f aca="false">+N16+O16</f>
        <v>104844.30099</v>
      </c>
      <c r="Q17" s="74" t="n">
        <f aca="false">+P17/1.327</f>
        <v>79008.5161944235</v>
      </c>
    </row>
    <row collapsed="false" customFormat="false" customHeight="true" hidden="false" ht="39.95" outlineLevel="0" r="18">
      <c r="B18" s="7" t="s">
        <v>91</v>
      </c>
      <c r="C18" s="7" t="n">
        <f aca="false">+C17/1.327</f>
        <v>12167.4076865109</v>
      </c>
      <c r="D18" s="7"/>
      <c r="E18" s="7"/>
      <c r="G18" s="0" t="n">
        <f aca="false">+7766.58+6870.93+150.36+4218.72+11.82</f>
        <v>19018.41</v>
      </c>
      <c r="H18" s="24" t="n">
        <f aca="false">+G18*1.327</f>
        <v>25237.43007</v>
      </c>
    </row>
    <row collapsed="false" customFormat="false" customHeight="true" hidden="false" ht="39.95" outlineLevel="0" r="19">
      <c r="I19" s="0" t="n">
        <f aca="false">+G7+G10+G13+G14</f>
        <v>11656.6058477769</v>
      </c>
      <c r="J19" s="0" t="n">
        <f aca="false">+I19/100*70</f>
        <v>8159.62409344386</v>
      </c>
    </row>
    <row collapsed="false" customFormat="false" customHeight="false" hidden="false" ht="14.05" outlineLevel="0" r="20">
      <c r="J20" s="0" t="n">
        <f aca="false">+I19/100*30</f>
        <v>3496.98175433308</v>
      </c>
    </row>
    <row collapsed="false" customFormat="false" customHeight="false" hidden="false" ht="14.05" outlineLevel="0" r="21">
      <c r="J21" s="0" t="n">
        <f aca="false">+J19+J20</f>
        <v>11656.6058477769</v>
      </c>
    </row>
    <row collapsed="false" customFormat="false" customHeight="false" hidden="false" ht="14.05" outlineLevel="0" r="22">
      <c r="I22" s="0" t="n">
        <f aca="false">+G11+G12</f>
        <v>490.874152223059</v>
      </c>
    </row>
    <row collapsed="false" customFormat="false" customHeight="false" hidden="false" ht="15.25" outlineLevel="0" r="23">
      <c r="B23" s="7"/>
      <c r="C23" s="7"/>
      <c r="D23" s="7"/>
      <c r="E23" s="7"/>
      <c r="H23" s="24" t="n">
        <f aca="false">+G23*1.327</f>
        <v>0</v>
      </c>
    </row>
    <row collapsed="false" customFormat="false" customHeight="false" hidden="false" ht="14.05" outlineLevel="0" r="25">
      <c r="I25" s="0" t="n">
        <v>12638.36</v>
      </c>
    </row>
    <row collapsed="false" customFormat="false" customHeight="false" hidden="false" ht="14.05" outlineLevel="0" r="27">
      <c r="I27" s="0" t="n">
        <f aca="false">+G8+G9</f>
        <v>6870.92619442352</v>
      </c>
    </row>
    <row collapsed="false" customFormat="false" customHeight="false" hidden="false" ht="15.25" outlineLevel="0" r="29">
      <c r="H29" s="24" t="n">
        <f aca="false">+G29*1.327</f>
        <v>0</v>
      </c>
    </row>
    <row collapsed="false" customFormat="false" customHeight="false" hidden="false" ht="14.05" outlineLevel="0" r="31">
      <c r="I31" s="0" t="n">
        <f aca="false">+I19+I22+I27</f>
        <v>19018.4061944235</v>
      </c>
    </row>
    <row collapsed="false" customFormat="false" customHeight="false" hidden="false" ht="12.85" outlineLevel="0" r="1048575"/>
    <row collapsed="false" customFormat="false" customHeight="false" hidden="false" ht="12.85" outlineLevel="0" r="1048576"/>
  </sheetData>
  <mergeCells count="4">
    <mergeCell ref="B1:G4"/>
    <mergeCell ref="H1:R4"/>
    <mergeCell ref="J5:K5"/>
    <mergeCell ref="L5:M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blackAndWhite="false" cellComments="none" copies="1" draft="false" firstPageNumber="0" fitToHeight="1" fitToWidth="1" horizontalDpi="300" orientation="landscape" pageOrder="downThenOver" paperSize="8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LibreOffice/4.1.3.2$Windows_x86 LibreOffice_project/70feb7d99726f064edab4605a8ab840c50ec57a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2006-09-25T09:17:32Z</dcterms:created>
  <cp:lastPrinted>2014-06-05T13:11:40Z</cp:lastPrinted>
  <dcterms:modified xsi:type="dcterms:W3CDTF">2013-09-23T13:05:02Z</dcterms:modified>
  <cp:revision>0</cp:revision>
</cp:coreProperties>
</file>